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25" yWindow="150" windowWidth="13680" windowHeight="108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<sst xmlns="http://schemas.openxmlformats.org/spreadsheetml/2006/main" count="165" uniqueCount="113">
  <si>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</si>
  <si>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</si>
  <si>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</si>
  <si>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</si>
  <si>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</si>
  <si>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</si>
  <si>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</si>
  <si>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</si>
  <si>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</si>
  <si>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</si>
  <si>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</si>
  <si>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</si>
  <si>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</si>
  <si>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</si>
  <si>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</si>
  <si>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</si>
  <si>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</si>
  <si>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</si>
  <si>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</si>
  <si>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</si>
  <si>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</si>
  <si>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</si>
  <si>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</si>
  <si>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</si>
  <si>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</si>
  <si>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</si>
  <si>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</si>
  <si>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</si>
  <si>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</si>
  <si>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</si>
  <si>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</si>
  <si>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</si>
  <si>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</si>
  <si>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</si>
  <si>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</si>
  <si>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</si>
  <si>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</si>
  <si>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</si>
  <si>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</si>
  <si>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</si>
  <si>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</si>
  <si>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</si>
  <si>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</si>
  <si>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</si>
  <si>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</si>
  <si>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</si>
  <si>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</si>
  <si>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</si>
  <si>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</si>
  <si>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</si>
  <si>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</si>
  <si>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</si>
  <si>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</si>
  <si>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</si>
  <si>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</si>
  <si>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</si>
  <si>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</si>
  <si>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</si>
  <si>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</si>
  <si>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</si>
  <si>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</si>
  <si>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</si>
  <si>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</si>
  <si>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</si>
  <si>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</si>
  <si>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</si>
  <si>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</si>
  <si>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</si>
  <si>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</si>
  <si>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</si>
  <si>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</si>
  <si>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</si>
  <si>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</si>
  <si>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</si>
  <si>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</si>
  <si>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</si>
  <si>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</si>
  <si>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</si>
  <si>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</si>
  <si>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</si>
  <si>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</si>
  <si>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</si>
  <si>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</si>
  <si>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</si>
  <si>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</si>
  <si>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</si>
  <si>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</si>
  <si>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</si>
  <si>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</si>
  <si>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</si>
  <si>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</si>
  <si>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</si>
  <si>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</si>
  <si>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</si>
  <si>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</si>
  <si>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</si>
  <si>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</si>
  <si>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</si>
  <si>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</si>
  <si>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</si>
  <si>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</si>
  <si>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</si>
  <si>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</si>
  <si>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</si>
  <si>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</si>
  <si>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</si>
  <si>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</si>
  <si>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</si>
  <si>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</si>
  <si>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6 місяців, тис.грн.</t>
  </si>
  <si>
    <t>Відсоток виконання  плану 6 місяців</t>
  </si>
  <si>
    <t>Відхилення від  плану 6 місяців, тис.грн.</t>
  </si>
  <si>
    <t>Аналіз використання коштів загального фонду міського бюджету станом на 14.06.2018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</si>
</sst>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0" borderId="0" xfId="0" applyNumberFormat="1" applyFont="1" applyFill="1" applyBorder="1" applyAlignment="1">
      <alignment/>
    </xf>
    <xf numFmtId="190" fontId="5" fillId="33" borderId="0" xfId="0" applyNumberFormat="1" applyFont="1" applyFill="1" applyBorder="1" applyAlignment="1">
      <alignment/>
    </xf>
    <xf numFmtId="190" fontId="0" fillId="35" borderId="0" xfId="0" applyNumberFormat="1" applyFont="1" applyFill="1" applyBorder="1" applyAlignment="1">
      <alignment/>
    </xf>
    <xf numFmtId="190" fontId="5" fillId="35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Border="1" applyAlignment="1">
      <alignment/>
    </xf>
    <xf numFmtId="189" fontId="0" fillId="35" borderId="0" xfId="0" applyNumberFormat="1" applyFont="1" applyFill="1" applyBorder="1" applyAlignment="1">
      <alignment/>
    </xf>
    <xf numFmtId="190" fontId="0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1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202725</c:v>
                </c:pt>
                <c:pt idx="1">
                  <c:v>189953.3</c:v>
                </c:pt>
                <c:pt idx="2">
                  <c:v>2776.4</c:v>
                </c:pt>
                <c:pt idx="3">
                  <c:v>9995.300000000012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91396.29999999997</c:v>
                </c:pt>
                <c:pt idx="1">
                  <c:v>87450.80999999997</c:v>
                </c:pt>
                <c:pt idx="2">
                  <c:v>1228.6000000000001</c:v>
                </c:pt>
                <c:pt idx="3">
                  <c:v>2716.890000000005</c:v>
                </c:pt>
              </c:numCache>
            </c:numRef>
          </c:val>
          <c:shape val="box"/>
        </c:ser>
        <c:shape val="box"/>
        <c:axId val="40154151"/>
        <c:axId val="25843040"/>
      </c:bar3DChart>
      <c:catAx>
        <c:axId val="4015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43040"/>
        <c:crosses val="autoZero"/>
        <c:auto val="1"/>
        <c:lblOffset val="100"/>
        <c:tickLblSkip val="1"/>
        <c:noMultiLvlLbl val="0"/>
      </c:catAx>
      <c:valAx>
        <c:axId val="25843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54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525"/>
          <c:w val="0.843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824967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23939.899999999965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401943.69999999995</c:v>
                </c:pt>
                <c:pt idx="1">
                  <c:v>151856.9</c:v>
                </c:pt>
                <c:pt idx="2">
                  <c:v>327951.5000000001</c:v>
                </c:pt>
                <c:pt idx="3">
                  <c:v>17.900000000000002</c:v>
                </c:pt>
                <c:pt idx="4">
                  <c:v>14614.9</c:v>
                </c:pt>
                <c:pt idx="5">
                  <c:v>49550.3</c:v>
                </c:pt>
                <c:pt idx="6">
                  <c:v>5331.499999999999</c:v>
                </c:pt>
                <c:pt idx="7">
                  <c:v>4477.599999999839</c:v>
                </c:pt>
              </c:numCache>
            </c:numRef>
          </c:val>
          <c:shape val="box"/>
        </c:ser>
        <c:shape val="box"/>
        <c:axId val="31260769"/>
        <c:axId val="12911466"/>
      </c:bar3DChart>
      <c:catAx>
        <c:axId val="31260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11466"/>
        <c:crosses val="autoZero"/>
        <c:auto val="1"/>
        <c:lblOffset val="100"/>
        <c:tickLblSkip val="1"/>
        <c:noMultiLvlLbl val="0"/>
      </c:catAx>
      <c:valAx>
        <c:axId val="12911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60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55"/>
          <c:w val="0.9295"/>
          <c:h val="0.6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424901.8</c:v>
                </c:pt>
                <c:pt idx="1">
                  <c:v>226936.3</c:v>
                </c:pt>
                <c:pt idx="2">
                  <c:v>424901.8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182685.09999999998</c:v>
                </c:pt>
                <c:pt idx="1">
                  <c:v>121769.2</c:v>
                </c:pt>
                <c:pt idx="2">
                  <c:v>182685.09999999998</c:v>
                </c:pt>
              </c:numCache>
            </c:numRef>
          </c:val>
          <c:shape val="box"/>
        </c:ser>
        <c:shape val="box"/>
        <c:axId val="49094331"/>
        <c:axId val="39195796"/>
      </c:bar3DChart>
      <c:catAx>
        <c:axId val="4909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95796"/>
        <c:crosses val="autoZero"/>
        <c:auto val="1"/>
        <c:lblOffset val="100"/>
        <c:tickLblSkip val="1"/>
        <c:noMultiLvlLbl val="0"/>
      </c:catAx>
      <c:valAx>
        <c:axId val="39195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43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6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8936.899999999998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9878.8</c:v>
                </c:pt>
                <c:pt idx="1">
                  <c:v>5474.700000000001</c:v>
                </c:pt>
                <c:pt idx="2">
                  <c:v>59.6</c:v>
                </c:pt>
                <c:pt idx="3">
                  <c:v>977.8999999999999</c:v>
                </c:pt>
                <c:pt idx="4">
                  <c:v>318.5</c:v>
                </c:pt>
                <c:pt idx="5">
                  <c:v>34.2</c:v>
                </c:pt>
                <c:pt idx="6">
                  <c:v>3013.899999999999</c:v>
                </c:pt>
              </c:numCache>
            </c:numRef>
          </c:val>
          <c:shape val="box"/>
        </c:ser>
        <c:shape val="box"/>
        <c:axId val="17217845"/>
        <c:axId val="20742878"/>
      </c:bar3DChart>
      <c:catAx>
        <c:axId val="1721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42878"/>
        <c:crosses val="autoZero"/>
        <c:auto val="1"/>
        <c:lblOffset val="100"/>
        <c:tickLblSkip val="1"/>
        <c:noMultiLvlLbl val="0"/>
      </c:catAx>
      <c:valAx>
        <c:axId val="20742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17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175"/>
          <c:w val="0.8635"/>
          <c:h val="0.67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37585.4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13940.6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14180.799999999997</c:v>
                </c:pt>
                <c:pt idx="1">
                  <c:v>8588.2</c:v>
                </c:pt>
                <c:pt idx="3">
                  <c:v>397.90000000000003</c:v>
                </c:pt>
                <c:pt idx="4">
                  <c:v>482.7000000000001</c:v>
                </c:pt>
                <c:pt idx="5">
                  <c:v>660</c:v>
                </c:pt>
                <c:pt idx="6">
                  <c:v>4051.9999999999973</c:v>
                </c:pt>
              </c:numCache>
            </c:numRef>
          </c:val>
          <c:shape val="box"/>
        </c:ser>
        <c:shape val="box"/>
        <c:axId val="52468175"/>
        <c:axId val="2451528"/>
      </c:bar3DChart>
      <c:catAx>
        <c:axId val="5246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1528"/>
        <c:crosses val="autoZero"/>
        <c:auto val="1"/>
        <c:lblOffset val="100"/>
        <c:tickLblSkip val="2"/>
        <c:noMultiLvlLbl val="0"/>
      </c:catAx>
      <c:valAx>
        <c:axId val="2451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68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65"/>
          <c:w val="0.87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1709.0000000000002</c:v>
                </c:pt>
                <c:pt idx="1">
                  <c:v>1281.1000000000001</c:v>
                </c:pt>
                <c:pt idx="3">
                  <c:v>219.69999999999996</c:v>
                </c:pt>
                <c:pt idx="4">
                  <c:v>0</c:v>
                </c:pt>
                <c:pt idx="5">
                  <c:v>208.20000000000013</c:v>
                </c:pt>
              </c:numCache>
            </c:numRef>
          </c:val>
          <c:shape val="box"/>
        </c:ser>
        <c:shape val="box"/>
        <c:axId val="22063753"/>
        <c:axId val="64356050"/>
      </c:bar3DChart>
      <c:catAx>
        <c:axId val="2206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56050"/>
        <c:crosses val="autoZero"/>
        <c:auto val="1"/>
        <c:lblOffset val="100"/>
        <c:tickLblSkip val="1"/>
        <c:noMultiLvlLbl val="0"/>
      </c:catAx>
      <c:valAx>
        <c:axId val="64356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63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575"/>
          <c:w val="0.8527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17475.6</c:v>
                </c:pt>
              </c:numCache>
            </c:numRef>
          </c:val>
          <c:shape val="box"/>
        </c:ser>
        <c:shape val="box"/>
        <c:axId val="42333539"/>
        <c:axId val="45457532"/>
      </c:bar3DChart>
      <c:catAx>
        <c:axId val="4233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457532"/>
        <c:crosses val="autoZero"/>
        <c:auto val="1"/>
        <c:lblOffset val="100"/>
        <c:tickLblSkip val="1"/>
        <c:noMultiLvlLbl val="0"/>
      </c:catAx>
      <c:valAx>
        <c:axId val="45457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33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125"/>
          <c:w val="0.851"/>
          <c:h val="0.58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824967</c:v>
                </c:pt>
                <c:pt idx="1">
                  <c:v>424901.8</c:v>
                </c:pt>
                <c:pt idx="2">
                  <c:v>24805.1</c:v>
                </c:pt>
                <c:pt idx="3">
                  <c:v>37585.4</c:v>
                </c:pt>
                <c:pt idx="4">
                  <c:v>9564.2</c:v>
                </c:pt>
                <c:pt idx="5">
                  <c:v>202725</c:v>
                </c:pt>
                <c:pt idx="6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401943.69999999995</c:v>
                </c:pt>
                <c:pt idx="1">
                  <c:v>182685.09999999998</c:v>
                </c:pt>
                <c:pt idx="2">
                  <c:v>9878.8</c:v>
                </c:pt>
                <c:pt idx="3">
                  <c:v>14180.799999999997</c:v>
                </c:pt>
                <c:pt idx="4">
                  <c:v>1709.0000000000002</c:v>
                </c:pt>
                <c:pt idx="5">
                  <c:v>91396.29999999997</c:v>
                </c:pt>
                <c:pt idx="6">
                  <c:v>17475.6</c:v>
                </c:pt>
              </c:numCache>
            </c:numRef>
          </c:val>
          <c:shape val="box"/>
        </c:ser>
        <c:shape val="box"/>
        <c:axId val="6464605"/>
        <c:axId val="58181446"/>
      </c:bar3DChart>
      <c:catAx>
        <c:axId val="6464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81446"/>
        <c:crosses val="autoZero"/>
        <c:auto val="1"/>
        <c:lblOffset val="100"/>
        <c:tickLblSkip val="1"/>
        <c:noMultiLvlLbl val="0"/>
      </c:catAx>
      <c:valAx>
        <c:axId val="58181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4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78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775"/>
          <c:w val="0.84125"/>
          <c:h val="0.4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30174.999999999996</c:v>
                </c:pt>
                <c:pt idx="4">
                  <c:v>113.10000000000001</c:v>
                </c:pt>
                <c:pt idx="5">
                  <c:v>1082200.7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436979.11000000004</c:v>
                </c:pt>
                <c:pt idx="1">
                  <c:v>59436.499999999985</c:v>
                </c:pt>
                <c:pt idx="2">
                  <c:v>15098.4</c:v>
                </c:pt>
                <c:pt idx="3">
                  <c:v>12090.400000000001</c:v>
                </c:pt>
                <c:pt idx="4">
                  <c:v>17.900000000000002</c:v>
                </c:pt>
                <c:pt idx="5">
                  <c:v>344644.68999999977</c:v>
                </c:pt>
              </c:numCache>
            </c:numRef>
          </c:val>
          <c:shape val="box"/>
        </c:ser>
        <c:shape val="box"/>
        <c:axId val="53870967"/>
        <c:axId val="15076656"/>
      </c:bar3DChart>
      <c:catAx>
        <c:axId val="5387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76656"/>
        <c:crosses val="autoZero"/>
        <c:auto val="1"/>
        <c:lblOffset val="100"/>
        <c:tickLblSkip val="1"/>
        <c:noMultiLvlLbl val="0"/>
      </c:catAx>
      <c:valAx>
        <c:axId val="15076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709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35" sqref="O135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1" t="s">
        <v>40</v>
      </c>
      <c r="B3" s="174" t="s">
        <v>109</v>
      </c>
      <c r="C3" s="168" t="s">
        <v>106</v>
      </c>
      <c r="D3" s="168" t="s">
        <v>22</v>
      </c>
      <c r="E3" s="168" t="s">
        <v>21</v>
      </c>
      <c r="F3" s="168" t="s">
        <v>110</v>
      </c>
      <c r="G3" s="168" t="s">
        <v>107</v>
      </c>
      <c r="H3" s="168" t="s">
        <v>111</v>
      </c>
      <c r="I3" s="168" t="s">
        <v>108</v>
      </c>
    </row>
    <row r="4" spans="1:9" ht="24.75" customHeight="1">
      <c r="A4" s="172"/>
      <c r="B4" s="175"/>
      <c r="C4" s="169"/>
      <c r="D4" s="169"/>
      <c r="E4" s="169"/>
      <c r="F4" s="169"/>
      <c r="G4" s="169"/>
      <c r="H4" s="169"/>
      <c r="I4" s="169"/>
    </row>
    <row r="5" spans="1:9" ht="39" customHeight="1" thickBot="1">
      <c r="A5" s="173"/>
      <c r="B5" s="176"/>
      <c r="C5" s="170"/>
      <c r="D5" s="170"/>
      <c r="E5" s="170"/>
      <c r="F5" s="170"/>
      <c r="G5" s="170"/>
      <c r="H5" s="170"/>
      <c r="I5" s="170"/>
    </row>
    <row r="6" spans="1:11" ht="18.75" thickBot="1">
      <c r="A6" s="20" t="s">
        <v>26</v>
      </c>
      <c r="B6" s="38">
        <v>478344.1</v>
      </c>
      <c r="C6" s="39">
        <f>826775+13431.5+510-13431.5+16-2334</f>
        <v>824967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</f>
        <v>401943.69999999995</v>
      </c>
      <c r="E6" s="3">
        <f>D6/D153*100</f>
        <v>46.2926380940425</v>
      </c>
      <c r="F6" s="3">
        <f>D6/B6*100</f>
        <v>84.0281504465091</v>
      </c>
      <c r="G6" s="3">
        <f aca="true" t="shared" si="0" ref="G6:G43">D6/C6*100</f>
        <v>48.72239738074371</v>
      </c>
      <c r="H6" s="40">
        <f>B6-D6</f>
        <v>76400.40000000002</v>
      </c>
      <c r="I6" s="40">
        <f aca="true" t="shared" si="1" ref="I6:I43">C6-D6</f>
        <v>423023.30000000005</v>
      </c>
      <c r="J6" s="93"/>
      <c r="K6" s="153"/>
    </row>
    <row r="7" spans="1:12" s="94" customFormat="1" ht="18.75">
      <c r="A7" s="140" t="s">
        <v>81</v>
      </c>
      <c r="B7" s="141">
        <v>163866.5</v>
      </c>
      <c r="C7" s="142">
        <v>262517.6</v>
      </c>
      <c r="D7" s="143">
        <f>8282.7+10875.2+9132.6+9963.6+4.3+9215.1+9968.6+9459.9+11450.4+9572.3+23759.4-0.1+3644+36528.9</f>
        <v>151856.9</v>
      </c>
      <c r="E7" s="144">
        <f>D7/D6*100</f>
        <v>37.78063942786017</v>
      </c>
      <c r="F7" s="144">
        <f>D7/B7*100</f>
        <v>92.67110727329869</v>
      </c>
      <c r="G7" s="144">
        <f>D7/C7*100</f>
        <v>57.84636915772504</v>
      </c>
      <c r="H7" s="143">
        <f>B7-D7</f>
        <v>12009.600000000006</v>
      </c>
      <c r="I7" s="143">
        <f t="shared" si="1"/>
        <v>110660.69999999998</v>
      </c>
      <c r="K7" s="153"/>
      <c r="L7" s="139"/>
    </row>
    <row r="8" spans="1:12" s="93" customFormat="1" ht="18">
      <c r="A8" s="102" t="s">
        <v>3</v>
      </c>
      <c r="B8" s="126">
        <v>381419.8</v>
      </c>
      <c r="C8" s="127">
        <f>649221.9+8415.5-2000</f>
        <v>655637.4</v>
      </c>
      <c r="D8" s="104">
        <f>18784.8+17058.5+10875.2+340.5+963.8+9132.6+10728.8+20670.9+9963.6+30.7+4.3+37.1+20227.5+2+9968.6+19814.4+11230.1+9459.9+20.4+27982.6+1967.7+0.6+48.1+3.5+9572.3+12806.6+0.7+22472.9+23759.4-0.1+211.9+3644+36528.9+19638.7</f>
        <v>327951.5000000001</v>
      </c>
      <c r="E8" s="106">
        <f>D8/D6*100</f>
        <v>81.59140197992907</v>
      </c>
      <c r="F8" s="106">
        <f>D8/B8*100</f>
        <v>85.9817712662007</v>
      </c>
      <c r="G8" s="106">
        <f t="shared" si="0"/>
        <v>50.02025509832113</v>
      </c>
      <c r="H8" s="104">
        <f>B8-D8</f>
        <v>53468.29999999987</v>
      </c>
      <c r="I8" s="104">
        <f t="shared" si="1"/>
        <v>327685.8999999999</v>
      </c>
      <c r="K8" s="153"/>
      <c r="L8" s="139"/>
    </row>
    <row r="9" spans="1:12" s="93" customFormat="1" ht="18">
      <c r="A9" s="102" t="s">
        <v>2</v>
      </c>
      <c r="B9" s="126">
        <v>30.8</v>
      </c>
      <c r="C9" s="127">
        <v>97.7</v>
      </c>
      <c r="D9" s="104">
        <f>3.4+5.4+0.8+4.1+3.6+0.3+0.3</f>
        <v>17.900000000000002</v>
      </c>
      <c r="E9" s="128">
        <f>D9/D6*100</f>
        <v>0.004453360010369613</v>
      </c>
      <c r="F9" s="106">
        <f>D9/B9*100</f>
        <v>58.11688311688312</v>
      </c>
      <c r="G9" s="106">
        <f t="shared" si="0"/>
        <v>18.321392016376663</v>
      </c>
      <c r="H9" s="104">
        <f aca="true" t="shared" si="2" ref="H9:H43">B9-D9</f>
        <v>12.899999999999999</v>
      </c>
      <c r="I9" s="104">
        <f t="shared" si="1"/>
        <v>79.8</v>
      </c>
      <c r="K9" s="153"/>
      <c r="L9" s="139"/>
    </row>
    <row r="10" spans="1:12" s="93" customFormat="1" ht="18">
      <c r="A10" s="102" t="s">
        <v>1</v>
      </c>
      <c r="B10" s="126">
        <v>23709.2</v>
      </c>
      <c r="C10" s="127">
        <f>52816.3-8415.5-19.2</f>
        <v>44381.600000000006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</f>
        <v>14614.9</v>
      </c>
      <c r="E10" s="106">
        <f>D10/D6*100</f>
        <v>3.636056492488874</v>
      </c>
      <c r="F10" s="106">
        <f aca="true" t="shared" si="3" ref="F10:F41">D10/B10*100</f>
        <v>61.6423160629629</v>
      </c>
      <c r="G10" s="106">
        <f t="shared" si="0"/>
        <v>32.93008814463651</v>
      </c>
      <c r="H10" s="104">
        <f t="shared" si="2"/>
        <v>9094.300000000001</v>
      </c>
      <c r="I10" s="104">
        <f t="shared" si="1"/>
        <v>29766.700000000004</v>
      </c>
      <c r="K10" s="153"/>
      <c r="L10" s="139"/>
    </row>
    <row r="11" spans="1:12" s="93" customFormat="1" ht="18">
      <c r="A11" s="102" t="s">
        <v>0</v>
      </c>
      <c r="B11" s="126">
        <v>52258.5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</f>
        <v>49550.3</v>
      </c>
      <c r="E11" s="106">
        <f>D11/D6*100</f>
        <v>12.327671760995386</v>
      </c>
      <c r="F11" s="106">
        <f t="shared" si="3"/>
        <v>94.81768516126564</v>
      </c>
      <c r="G11" s="106">
        <f t="shared" si="0"/>
        <v>56.197063933838706</v>
      </c>
      <c r="H11" s="104">
        <f t="shared" si="2"/>
        <v>2708.199999999997</v>
      </c>
      <c r="I11" s="104">
        <f t="shared" si="1"/>
        <v>38622.09999999999</v>
      </c>
      <c r="K11" s="153"/>
      <c r="L11" s="139"/>
    </row>
    <row r="12" spans="1:12" s="93" customFormat="1" ht="18">
      <c r="A12" s="102" t="s">
        <v>14</v>
      </c>
      <c r="B12" s="126">
        <v>6519.6</v>
      </c>
      <c r="C12" s="127">
        <v>12738</v>
      </c>
      <c r="D12" s="104">
        <f>874.5+251.8+346.3+159.7+538.5+10.6+57+168.9+31.7+165.3+10.6+439.5+199.1+10.6+10.6+19+325.9+10.6+160.6+453.5-0.1+21.1+21.1+563.9+19+160.9+282.3+19</f>
        <v>5331.499999999999</v>
      </c>
      <c r="E12" s="106">
        <f>D12/D6*100</f>
        <v>1.3264295472226584</v>
      </c>
      <c r="F12" s="106">
        <f t="shared" si="3"/>
        <v>81.77648935517514</v>
      </c>
      <c r="G12" s="106">
        <f t="shared" si="0"/>
        <v>41.85507929031244</v>
      </c>
      <c r="H12" s="104">
        <f>B12-D12</f>
        <v>1188.1000000000013</v>
      </c>
      <c r="I12" s="104">
        <f t="shared" si="1"/>
        <v>7406.500000000001</v>
      </c>
      <c r="K12" s="153">
        <f>H18-H19</f>
        <v>18118.800000000032</v>
      </c>
      <c r="L12" s="139"/>
    </row>
    <row r="13" spans="1:12" s="93" customFormat="1" ht="18.75" thickBot="1">
      <c r="A13" s="102" t="s">
        <v>27</v>
      </c>
      <c r="B13" s="127">
        <f>B6-B8-B9-B10-B11-B12</f>
        <v>14406.199999999988</v>
      </c>
      <c r="C13" s="127">
        <f>C6-C8-C9-C10-C11-C12</f>
        <v>23939.899999999965</v>
      </c>
      <c r="D13" s="127">
        <f>D6-D8-D9-D10-D11-D12</f>
        <v>4477.599999999839</v>
      </c>
      <c r="E13" s="106">
        <f>D13/D6*100</f>
        <v>1.113986859353646</v>
      </c>
      <c r="F13" s="106">
        <f t="shared" si="3"/>
        <v>31.081062320388742</v>
      </c>
      <c r="G13" s="106">
        <f t="shared" si="0"/>
        <v>18.703503356320812</v>
      </c>
      <c r="H13" s="104">
        <f t="shared" si="2"/>
        <v>9928.600000000148</v>
      </c>
      <c r="I13" s="104">
        <f t="shared" si="1"/>
        <v>19462.300000000127</v>
      </c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v>211802.5</v>
      </c>
      <c r="C18" s="39">
        <f>424151.5+750.3</f>
        <v>424901.8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</f>
        <v>182685.09999999998</v>
      </c>
      <c r="E18" s="3">
        <f>D18/D153*100</f>
        <v>21.040198464297273</v>
      </c>
      <c r="F18" s="3">
        <f>D18/B18*100</f>
        <v>86.25257020101273</v>
      </c>
      <c r="G18" s="3">
        <f t="shared" si="0"/>
        <v>42.994663708179154</v>
      </c>
      <c r="H18" s="40">
        <f>B18-D18</f>
        <v>29117.400000000023</v>
      </c>
      <c r="I18" s="40">
        <f t="shared" si="1"/>
        <v>242216.7</v>
      </c>
      <c r="J18" s="93"/>
      <c r="K18" s="153"/>
    </row>
    <row r="19" spans="1:13" s="94" customFormat="1" ht="18.75">
      <c r="A19" s="140" t="s">
        <v>82</v>
      </c>
      <c r="B19" s="141">
        <v>132767.8</v>
      </c>
      <c r="C19" s="142">
        <f>226186+750.3</f>
        <v>226936.3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</f>
        <v>121769.2</v>
      </c>
      <c r="E19" s="144">
        <f>D19/D18*100</f>
        <v>66.65524446164466</v>
      </c>
      <c r="F19" s="144">
        <f t="shared" si="3"/>
        <v>91.71591304518114</v>
      </c>
      <c r="G19" s="144">
        <f t="shared" si="0"/>
        <v>53.65787668169438</v>
      </c>
      <c r="H19" s="143">
        <f t="shared" si="2"/>
        <v>10998.599999999991</v>
      </c>
      <c r="I19" s="143">
        <f t="shared" si="1"/>
        <v>105167.09999999999</v>
      </c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211802.5</v>
      </c>
      <c r="C25" s="127">
        <f>C18</f>
        <v>424901.8</v>
      </c>
      <c r="D25" s="127">
        <f>D18</f>
        <v>182685.09999999998</v>
      </c>
      <c r="E25" s="106">
        <f>D25/D18*100</f>
        <v>100</v>
      </c>
      <c r="F25" s="106">
        <f t="shared" si="3"/>
        <v>86.25257020101273</v>
      </c>
      <c r="G25" s="106">
        <f t="shared" si="0"/>
        <v>42.994663708179154</v>
      </c>
      <c r="H25" s="104">
        <f t="shared" si="2"/>
        <v>29117.400000000023</v>
      </c>
      <c r="I25" s="104">
        <f t="shared" si="1"/>
        <v>242216.7</v>
      </c>
      <c r="K25" s="153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3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3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3">
        <f t="shared" si="4"/>
        <v>0</v>
      </c>
    </row>
    <row r="33" spans="1:11" ht="18.75" thickBot="1">
      <c r="A33" s="20" t="s">
        <v>17</v>
      </c>
      <c r="B33" s="38">
        <v>12240.8</v>
      </c>
      <c r="C33" s="39">
        <v>24805.1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</f>
        <v>9878.8</v>
      </c>
      <c r="E33" s="3">
        <f>D33/D153*100</f>
        <v>1.137760619717207</v>
      </c>
      <c r="F33" s="3">
        <f>D33/B33*100</f>
        <v>80.70387556368864</v>
      </c>
      <c r="G33" s="3">
        <f t="shared" si="0"/>
        <v>39.82568100914731</v>
      </c>
      <c r="H33" s="40">
        <f t="shared" si="2"/>
        <v>2362</v>
      </c>
      <c r="I33" s="40">
        <f t="shared" si="1"/>
        <v>14926.3</v>
      </c>
      <c r="J33" s="166"/>
      <c r="K33" s="153"/>
    </row>
    <row r="34" spans="1:11" s="93" customFormat="1" ht="18">
      <c r="A34" s="102" t="s">
        <v>3</v>
      </c>
      <c r="B34" s="126">
        <v>6385.5</v>
      </c>
      <c r="C34" s="127">
        <v>12906.6</v>
      </c>
      <c r="D34" s="104">
        <f>364.6+548.1+389.3+522.2+63+395+556.7+63+391.3+512.8+63+394.6+664.3+89.8+0.3+456.7</f>
        <v>5474.700000000001</v>
      </c>
      <c r="E34" s="106">
        <f>D34/D33*100</f>
        <v>55.41867433291494</v>
      </c>
      <c r="F34" s="106">
        <f t="shared" si="3"/>
        <v>85.73643410852715</v>
      </c>
      <c r="G34" s="106">
        <f t="shared" si="0"/>
        <v>42.41783273673935</v>
      </c>
      <c r="H34" s="104">
        <f t="shared" si="2"/>
        <v>910.7999999999993</v>
      </c>
      <c r="I34" s="104">
        <f t="shared" si="1"/>
        <v>7431.9</v>
      </c>
      <c r="K34" s="153"/>
    </row>
    <row r="35" spans="1:11" s="93" customFormat="1" ht="18">
      <c r="A35" s="102" t="s">
        <v>1</v>
      </c>
      <c r="B35" s="126">
        <v>59.6</v>
      </c>
      <c r="C35" s="127">
        <v>81.1</v>
      </c>
      <c r="D35" s="104">
        <f>6.8+8.7+11.6+32.5</f>
        <v>59.6</v>
      </c>
      <c r="E35" s="106">
        <f>D35/D33*100</f>
        <v>0.6033121431752845</v>
      </c>
      <c r="F35" s="106">
        <f t="shared" si="3"/>
        <v>100</v>
      </c>
      <c r="G35" s="106">
        <f t="shared" si="0"/>
        <v>73.48951911220716</v>
      </c>
      <c r="H35" s="104">
        <f t="shared" si="2"/>
        <v>0</v>
      </c>
      <c r="I35" s="104">
        <f t="shared" si="1"/>
        <v>21.499999999999993</v>
      </c>
      <c r="K35" s="153"/>
    </row>
    <row r="36" spans="1:11" s="93" customFormat="1" ht="18">
      <c r="A36" s="102" t="s">
        <v>0</v>
      </c>
      <c r="B36" s="126">
        <v>1014.6</v>
      </c>
      <c r="C36" s="127">
        <v>1783</v>
      </c>
      <c r="D36" s="104">
        <f>0.3+11.3+141.7+12.6+0.9+12.9+1.3+0.5+169.4+1.1+0.1+0.4+11.3+166.1+3.8+5.1+2.9+0.2+0.5+11.9+319.9+44.3+12.2+0.9-0.2+8.4+29.5+8.6</f>
        <v>977.8999999999999</v>
      </c>
      <c r="E36" s="106">
        <f>D36/D33*100</f>
        <v>9.898975584079036</v>
      </c>
      <c r="F36" s="106">
        <f t="shared" si="3"/>
        <v>96.38281095998421</v>
      </c>
      <c r="G36" s="106">
        <f t="shared" si="0"/>
        <v>54.84576556365675</v>
      </c>
      <c r="H36" s="104">
        <f t="shared" si="2"/>
        <v>36.70000000000016</v>
      </c>
      <c r="I36" s="104">
        <f t="shared" si="1"/>
        <v>805.1000000000001</v>
      </c>
      <c r="K36" s="153"/>
    </row>
    <row r="37" spans="1:12" s="94" customFormat="1" ht="18.75">
      <c r="A37" s="117" t="s">
        <v>7</v>
      </c>
      <c r="B37" s="137">
        <v>330.7</v>
      </c>
      <c r="C37" s="138">
        <v>1008</v>
      </c>
      <c r="D37" s="108">
        <f>44.8+25.1+1.6+0.5+2.7+1+6.3+8.5+2.5+36.6+1.5+4.5+23.6+4.1+106.1+32.6+9.7+2.5+4.3</f>
        <v>318.5</v>
      </c>
      <c r="E37" s="112">
        <f>D37/D33*100</f>
        <v>3.2240757986800017</v>
      </c>
      <c r="F37" s="112">
        <f t="shared" si="3"/>
        <v>96.31085576050802</v>
      </c>
      <c r="G37" s="112">
        <f t="shared" si="0"/>
        <v>31.59722222222222</v>
      </c>
      <c r="H37" s="108">
        <f t="shared" si="2"/>
        <v>12.199999999999989</v>
      </c>
      <c r="I37" s="108">
        <f t="shared" si="1"/>
        <v>689.5</v>
      </c>
      <c r="K37" s="153"/>
      <c r="L37" s="139"/>
    </row>
    <row r="38" spans="1:11" s="93" customFormat="1" ht="18">
      <c r="A38" s="102" t="s">
        <v>14</v>
      </c>
      <c r="B38" s="126">
        <v>34.2</v>
      </c>
      <c r="C38" s="127">
        <f>80.8+8.7</f>
        <v>89.5</v>
      </c>
      <c r="D38" s="127">
        <f>5.1+5.1+5.1+5.1+5.1+8.7</f>
        <v>34.2</v>
      </c>
      <c r="E38" s="106">
        <f>D38/D33*100</f>
        <v>0.34619589423816666</v>
      </c>
      <c r="F38" s="106">
        <f t="shared" si="3"/>
        <v>100</v>
      </c>
      <c r="G38" s="106">
        <f t="shared" si="0"/>
        <v>38.2122905027933</v>
      </c>
      <c r="H38" s="104">
        <f t="shared" si="2"/>
        <v>0</v>
      </c>
      <c r="I38" s="104">
        <f t="shared" si="1"/>
        <v>55.3</v>
      </c>
      <c r="K38" s="153"/>
    </row>
    <row r="39" spans="1:11" s="93" customFormat="1" ht="18.75" thickBot="1">
      <c r="A39" s="102" t="s">
        <v>27</v>
      </c>
      <c r="B39" s="126">
        <f>B33-B34-B36-B37-B35-B38</f>
        <v>4416.199999999999</v>
      </c>
      <c r="C39" s="126">
        <f>C33-C34-C36-C37-C35-C38</f>
        <v>8936.899999999998</v>
      </c>
      <c r="D39" s="126">
        <f>D33-D34-D36-D37-D35-D38</f>
        <v>3013.899999999999</v>
      </c>
      <c r="E39" s="106">
        <f>D39/D33*100</f>
        <v>30.50876624691257</v>
      </c>
      <c r="F39" s="106">
        <f t="shared" si="3"/>
        <v>68.24645622933744</v>
      </c>
      <c r="G39" s="106">
        <f t="shared" si="0"/>
        <v>33.724222045675795</v>
      </c>
      <c r="H39" s="104">
        <f>B39-D39</f>
        <v>1402.2999999999997</v>
      </c>
      <c r="I39" s="104">
        <f t="shared" si="1"/>
        <v>5922.999999999998</v>
      </c>
      <c r="K39" s="153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3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3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3">
        <f>C42-B42</f>
        <v>0</v>
      </c>
    </row>
    <row r="43" spans="1:11" ht="19.5" thickBot="1">
      <c r="A43" s="12" t="s">
        <v>16</v>
      </c>
      <c r="B43" s="76">
        <f>1153.7-36</f>
        <v>1117.7</v>
      </c>
      <c r="C43" s="39">
        <f>1126.9+467</f>
        <v>1593.9</v>
      </c>
      <c r="D43" s="40">
        <f>63.9+1.1+0.6+70.8+0.5+48+6.7+2+13.7+10.4+20.2+0.7+37.4+27+181.7+0.2</f>
        <v>484.8999999999999</v>
      </c>
      <c r="E43" s="3">
        <f>D43/D153*100</f>
        <v>0.05584687659441163</v>
      </c>
      <c r="F43" s="3">
        <f>D43/B43*100</f>
        <v>43.38373445468371</v>
      </c>
      <c r="G43" s="3">
        <f t="shared" si="0"/>
        <v>30.422234770060854</v>
      </c>
      <c r="H43" s="40">
        <f t="shared" si="2"/>
        <v>632.8000000000002</v>
      </c>
      <c r="I43" s="40">
        <f t="shared" si="1"/>
        <v>1109.0000000000002</v>
      </c>
      <c r="J43" s="93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3"/>
    </row>
    <row r="45" spans="1:11" ht="18.75" thickBot="1">
      <c r="A45" s="20" t="s">
        <v>44</v>
      </c>
      <c r="B45" s="38">
        <v>6805.3</v>
      </c>
      <c r="C45" s="39">
        <v>13576.3</v>
      </c>
      <c r="D45" s="40">
        <f>237.1+562.8+52.3+349.2+679.9+375.9+891+78.3+327.4+13.5+670.2+386.5+179.9+781.7-0.1+25.5+366.5</f>
        <v>5977.599999999999</v>
      </c>
      <c r="E45" s="3">
        <f>D45/D153*100</f>
        <v>0.688451824150866</v>
      </c>
      <c r="F45" s="3">
        <f>D45/B45*100</f>
        <v>87.83742083376191</v>
      </c>
      <c r="G45" s="3">
        <f aca="true" t="shared" si="5" ref="G45:G76">D45/C45*100</f>
        <v>44.0296693502648</v>
      </c>
      <c r="H45" s="40">
        <f>B45-D45</f>
        <v>827.7000000000007</v>
      </c>
      <c r="I45" s="40">
        <f aca="true" t="shared" si="6" ref="I45:I77">C45-D45</f>
        <v>7598.7</v>
      </c>
      <c r="J45" s="93"/>
      <c r="K45" s="153"/>
    </row>
    <row r="46" spans="1:11" s="93" customFormat="1" ht="18">
      <c r="A46" s="102" t="s">
        <v>3</v>
      </c>
      <c r="B46" s="126">
        <v>6036.4</v>
      </c>
      <c r="C46" s="127">
        <v>12256.4</v>
      </c>
      <c r="D46" s="104">
        <f>237.1+551.8+334.1+652.5+314.7+746.1+319.2+661.7+342.8+781.7+0.2-0.1+366.5</f>
        <v>5308.299999999999</v>
      </c>
      <c r="E46" s="106">
        <f>D46/D45*100</f>
        <v>88.80319860813705</v>
      </c>
      <c r="F46" s="106">
        <f aca="true" t="shared" si="7" ref="F46:F74">D46/B46*100</f>
        <v>87.9381750712345</v>
      </c>
      <c r="G46" s="106">
        <f t="shared" si="5"/>
        <v>43.31043373258052</v>
      </c>
      <c r="H46" s="104">
        <f aca="true" t="shared" si="8" ref="H46:H74">B46-D46</f>
        <v>728.1000000000004</v>
      </c>
      <c r="I46" s="104">
        <f t="shared" si="6"/>
        <v>6948.1</v>
      </c>
      <c r="K46" s="153"/>
    </row>
    <row r="47" spans="1:11" s="93" customFormat="1" ht="18">
      <c r="A47" s="102" t="s">
        <v>2</v>
      </c>
      <c r="B47" s="126">
        <v>0.8</v>
      </c>
      <c r="C47" s="127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0.8</v>
      </c>
      <c r="I47" s="104">
        <f t="shared" si="6"/>
        <v>1.5</v>
      </c>
      <c r="K47" s="153"/>
    </row>
    <row r="48" spans="1:11" s="93" customFormat="1" ht="18">
      <c r="A48" s="102" t="s">
        <v>1</v>
      </c>
      <c r="B48" s="126">
        <v>49</v>
      </c>
      <c r="C48" s="127">
        <v>98.9</v>
      </c>
      <c r="D48" s="104">
        <f>5.7+6.1+6.5+7.7</f>
        <v>26</v>
      </c>
      <c r="E48" s="106">
        <f>D48/D45*100</f>
        <v>0.43495717344753754</v>
      </c>
      <c r="F48" s="106">
        <f t="shared" si="7"/>
        <v>53.06122448979592</v>
      </c>
      <c r="G48" s="106">
        <f t="shared" si="5"/>
        <v>26.289180990899897</v>
      </c>
      <c r="H48" s="104">
        <f t="shared" si="8"/>
        <v>23</v>
      </c>
      <c r="I48" s="104">
        <f t="shared" si="6"/>
        <v>72.9</v>
      </c>
      <c r="K48" s="153"/>
    </row>
    <row r="49" spans="1:11" s="93" customFormat="1" ht="18">
      <c r="A49" s="102" t="s">
        <v>0</v>
      </c>
      <c r="B49" s="126">
        <v>562.4</v>
      </c>
      <c r="C49" s="127">
        <v>879.8</v>
      </c>
      <c r="D49" s="104">
        <f>7.3+51.9+12.7-0.1+54.5+131.2+49.5+2.4+7.9+11.2+178.3+0.4</f>
        <v>507.19999999999993</v>
      </c>
      <c r="E49" s="106">
        <f>D49/D45*100</f>
        <v>8.485010706638116</v>
      </c>
      <c r="F49" s="106">
        <f t="shared" si="7"/>
        <v>90.18492176386911</v>
      </c>
      <c r="G49" s="106">
        <f t="shared" si="5"/>
        <v>57.64946578767901</v>
      </c>
      <c r="H49" s="104">
        <f t="shared" si="8"/>
        <v>55.200000000000045</v>
      </c>
      <c r="I49" s="104">
        <f t="shared" si="6"/>
        <v>372.6</v>
      </c>
      <c r="K49" s="153"/>
    </row>
    <row r="50" spans="1:11" s="93" customFormat="1" ht="18.75" thickBot="1">
      <c r="A50" s="102" t="s">
        <v>27</v>
      </c>
      <c r="B50" s="127">
        <f>B45-B46-B49-B48-B47</f>
        <v>156.70000000000056</v>
      </c>
      <c r="C50" s="127">
        <f>C45-C46-C49-C48-C47</f>
        <v>339.6999999999997</v>
      </c>
      <c r="D50" s="127">
        <f>D45-D46-D49-D48-D47</f>
        <v>136.10000000000025</v>
      </c>
      <c r="E50" s="106">
        <f>D50/D45*100</f>
        <v>2.276833511777306</v>
      </c>
      <c r="F50" s="106">
        <f t="shared" si="7"/>
        <v>86.85386088066353</v>
      </c>
      <c r="G50" s="106">
        <f t="shared" si="5"/>
        <v>40.06476302619969</v>
      </c>
      <c r="H50" s="104">
        <f t="shared" si="8"/>
        <v>20.600000000000307</v>
      </c>
      <c r="I50" s="104">
        <f t="shared" si="6"/>
        <v>203.59999999999945</v>
      </c>
      <c r="K50" s="153"/>
    </row>
    <row r="51" spans="1:11" ht="18.75" thickBot="1">
      <c r="A51" s="20" t="s">
        <v>4</v>
      </c>
      <c r="B51" s="38">
        <v>17581.2</v>
      </c>
      <c r="C51" s="39">
        <f>37135.4+450</f>
        <v>37585.4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</f>
        <v>14180.799999999997</v>
      </c>
      <c r="E51" s="3">
        <f>D51/D153*100</f>
        <v>1.6332303312229994</v>
      </c>
      <c r="F51" s="3">
        <f>D51/B51*100</f>
        <v>80.65888562782972</v>
      </c>
      <c r="G51" s="3">
        <f t="shared" si="5"/>
        <v>37.729543918649256</v>
      </c>
      <c r="H51" s="40">
        <f>B51-D51</f>
        <v>3400.4000000000033</v>
      </c>
      <c r="I51" s="40">
        <f t="shared" si="6"/>
        <v>23404.600000000006</v>
      </c>
      <c r="J51" s="93"/>
      <c r="K51" s="153"/>
    </row>
    <row r="52" spans="1:11" s="93" customFormat="1" ht="18">
      <c r="A52" s="102" t="s">
        <v>3</v>
      </c>
      <c r="B52" s="126">
        <v>10635</v>
      </c>
      <c r="C52" s="127">
        <v>20097.4</v>
      </c>
      <c r="D52" s="104">
        <f>632.9+34.3+767.3+737.6+710.6+649.6+792.4+1.6+643.1+825.6+650.1+947+1196.1</f>
        <v>8588.2</v>
      </c>
      <c r="E52" s="106">
        <f>D52/D51*100</f>
        <v>60.56216856594834</v>
      </c>
      <c r="F52" s="106">
        <f t="shared" si="7"/>
        <v>80.75411377527034</v>
      </c>
      <c r="G52" s="106">
        <f t="shared" si="5"/>
        <v>42.73289082169833</v>
      </c>
      <c r="H52" s="104">
        <f t="shared" si="8"/>
        <v>2046.7999999999993</v>
      </c>
      <c r="I52" s="104">
        <f t="shared" si="6"/>
        <v>11509.2</v>
      </c>
      <c r="K52" s="153"/>
    </row>
    <row r="53" spans="1:11" s="93" customFormat="1" ht="18">
      <c r="A53" s="102" t="s">
        <v>2</v>
      </c>
      <c r="B53" s="126">
        <v>0</v>
      </c>
      <c r="C53" s="127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K53" s="153"/>
    </row>
    <row r="54" spans="1:11" s="93" customFormat="1" ht="18">
      <c r="A54" s="102" t="s">
        <v>1</v>
      </c>
      <c r="B54" s="126">
        <v>501</v>
      </c>
      <c r="C54" s="127">
        <v>993.6</v>
      </c>
      <c r="D54" s="104">
        <f>0.2+4.2+9+4.7+9.6+6.3+43.2+2.7+18.4+3.8+23.8+5.3+12.2+43.2+26.7+3.8+22.4+0.4+59.7+30.3+3.3+19.2+7+2.9+21+4.4-0.4+4.8+2.2+3.6</f>
        <v>397.90000000000003</v>
      </c>
      <c r="E54" s="106">
        <f>D54/D51*100</f>
        <v>2.805906577908158</v>
      </c>
      <c r="F54" s="106">
        <f t="shared" si="7"/>
        <v>79.42115768463076</v>
      </c>
      <c r="G54" s="106">
        <f t="shared" si="5"/>
        <v>40.0462962962963</v>
      </c>
      <c r="H54" s="104">
        <f t="shared" si="8"/>
        <v>103.09999999999997</v>
      </c>
      <c r="I54" s="104">
        <f t="shared" si="6"/>
        <v>595.7</v>
      </c>
      <c r="K54" s="153"/>
    </row>
    <row r="55" spans="1:11" s="93" customFormat="1" ht="18">
      <c r="A55" s="102" t="s">
        <v>0</v>
      </c>
      <c r="B55" s="126">
        <v>605.6</v>
      </c>
      <c r="C55" s="127">
        <v>1219.9</v>
      </c>
      <c r="D55" s="104">
        <f>0.5+1+2.8+12.3+8.3+0.5+0.4+8.7+15+0.3+1.3+64.9+33.6+8.1+0.1+94.7+0.3+9.8+7.8+0.9+1.8+16.2+18.3+3.3+0.1+11.4+0.1+11.4+1.3+76.9+6.2+11.6+2.1+2.4+24+0.1+0.5+16.3+2.5+1.1+3.8</f>
        <v>482.7000000000001</v>
      </c>
      <c r="E55" s="106">
        <f>D55/D51*100</f>
        <v>3.4038982285907715</v>
      </c>
      <c r="F55" s="106">
        <f t="shared" si="7"/>
        <v>79.70607661822987</v>
      </c>
      <c r="G55" s="106">
        <f t="shared" si="5"/>
        <v>39.56881711615707</v>
      </c>
      <c r="H55" s="104">
        <f t="shared" si="8"/>
        <v>122.89999999999992</v>
      </c>
      <c r="I55" s="104">
        <f t="shared" si="6"/>
        <v>737.2</v>
      </c>
      <c r="K55" s="153"/>
    </row>
    <row r="56" spans="1:11" s="93" customFormat="1" ht="18">
      <c r="A56" s="102" t="s">
        <v>14</v>
      </c>
      <c r="B56" s="126">
        <v>660</v>
      </c>
      <c r="C56" s="127">
        <v>1320</v>
      </c>
      <c r="D56" s="127">
        <f>110+110+110+110+110+110</f>
        <v>660</v>
      </c>
      <c r="E56" s="106">
        <f>D56/D51*100</f>
        <v>4.654180300124112</v>
      </c>
      <c r="F56" s="106">
        <f>D56/B56*100</f>
        <v>100</v>
      </c>
      <c r="G56" s="106">
        <f>D56/C56*100</f>
        <v>50</v>
      </c>
      <c r="H56" s="104">
        <f t="shared" si="8"/>
        <v>0</v>
      </c>
      <c r="I56" s="104">
        <f t="shared" si="6"/>
        <v>660</v>
      </c>
      <c r="K56" s="153"/>
    </row>
    <row r="57" spans="1:11" s="93" customFormat="1" ht="18.75" thickBot="1">
      <c r="A57" s="102" t="s">
        <v>27</v>
      </c>
      <c r="B57" s="127">
        <f>B51-B52-B55-B54-B53-B56</f>
        <v>5179.6</v>
      </c>
      <c r="C57" s="127">
        <f>C51-C52-C55-C54-C53-C56</f>
        <v>13940.6</v>
      </c>
      <c r="D57" s="127">
        <f>D51-D52-D55-D54-D53-D56</f>
        <v>4051.9999999999973</v>
      </c>
      <c r="E57" s="106">
        <f>D57/D51*100</f>
        <v>28.57384632742862</v>
      </c>
      <c r="F57" s="106">
        <f t="shared" si="7"/>
        <v>78.22997914896898</v>
      </c>
      <c r="G57" s="106">
        <f t="shared" si="5"/>
        <v>29.066180795661573</v>
      </c>
      <c r="H57" s="104">
        <f>B57-D57</f>
        <v>1127.600000000003</v>
      </c>
      <c r="I57" s="104">
        <f>C57-D57</f>
        <v>9888.600000000002</v>
      </c>
      <c r="K57" s="153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3">
        <f>C58-B58</f>
        <v>0</v>
      </c>
    </row>
    <row r="59" spans="1:11" ht="18.75" thickBot="1">
      <c r="A59" s="20" t="s">
        <v>6</v>
      </c>
      <c r="B59" s="38">
        <v>3979.5</v>
      </c>
      <c r="C59" s="39">
        <f>9264.2+300</f>
        <v>9564.2</v>
      </c>
      <c r="D59" s="40">
        <f>87.7+79.1+87.8+43.2+40.5+47.6+13+155.9+18+2.1+84.2+29.6+0.7+0.5+5.7+85.8+109.2+19+38.3+85.7+1.2+4.7+89.8+79.1+0.4+114.1+2.5+187.7+22+17.7+67.3-3+41+50.9</f>
        <v>1709.0000000000002</v>
      </c>
      <c r="E59" s="3">
        <f>D59/D153*100</f>
        <v>0.1968288556400278</v>
      </c>
      <c r="F59" s="3">
        <f>D59/B59*100</f>
        <v>42.945093604724214</v>
      </c>
      <c r="G59" s="3">
        <f t="shared" si="5"/>
        <v>17.868718763723052</v>
      </c>
      <c r="H59" s="40">
        <f>B59-D59</f>
        <v>2270.5</v>
      </c>
      <c r="I59" s="40">
        <f t="shared" si="6"/>
        <v>7855.200000000001</v>
      </c>
      <c r="J59" s="93"/>
      <c r="K59" s="153"/>
    </row>
    <row r="60" spans="1:11" s="93" customFormat="1" ht="18">
      <c r="A60" s="102" t="s">
        <v>3</v>
      </c>
      <c r="B60" s="126">
        <v>1564.4</v>
      </c>
      <c r="C60" s="127">
        <v>3119.7</v>
      </c>
      <c r="D60" s="104">
        <f>77.7+79.1+76.9+40.5+47.3+155.9+45+29.2+85.8+95.3+38.3+30.7+89.8+79.1+80.7+178.9+50.9</f>
        <v>1281.1000000000001</v>
      </c>
      <c r="E60" s="106">
        <f>D60/D59*100</f>
        <v>74.96196606202457</v>
      </c>
      <c r="F60" s="106">
        <f t="shared" si="7"/>
        <v>81.89082076195346</v>
      </c>
      <c r="G60" s="106">
        <f t="shared" si="5"/>
        <v>41.06484597878002</v>
      </c>
      <c r="H60" s="104">
        <f t="shared" si="8"/>
        <v>283.29999999999995</v>
      </c>
      <c r="I60" s="104">
        <f t="shared" si="6"/>
        <v>1838.5999999999997</v>
      </c>
      <c r="K60" s="153"/>
    </row>
    <row r="61" spans="1:11" s="93" customFormat="1" ht="18">
      <c r="A61" s="102" t="s">
        <v>1</v>
      </c>
      <c r="B61" s="126">
        <v>263.2</v>
      </c>
      <c r="C61" s="127">
        <v>360.7</v>
      </c>
      <c r="D61" s="104"/>
      <c r="E61" s="106">
        <f>D61/D59*100</f>
        <v>0</v>
      </c>
      <c r="F61" s="106">
        <f>D61/B61*100</f>
        <v>0</v>
      </c>
      <c r="G61" s="106">
        <f t="shared" si="5"/>
        <v>0</v>
      </c>
      <c r="H61" s="104">
        <f t="shared" si="8"/>
        <v>263.2</v>
      </c>
      <c r="I61" s="104">
        <f t="shared" si="6"/>
        <v>360.7</v>
      </c>
      <c r="K61" s="153"/>
    </row>
    <row r="62" spans="1:11" s="93" customFormat="1" ht="18">
      <c r="A62" s="102" t="s">
        <v>0</v>
      </c>
      <c r="B62" s="126">
        <v>239.7</v>
      </c>
      <c r="C62" s="127">
        <v>393.7</v>
      </c>
      <c r="D62" s="104">
        <f>10.9+43.2+13-3+39.2+5.7+50.2+3.5+0.2+29.7+2.5+1.8+22+0.1+0.7</f>
        <v>219.69999999999996</v>
      </c>
      <c r="E62" s="106">
        <f>D62/D59*100</f>
        <v>12.855471035693384</v>
      </c>
      <c r="F62" s="106">
        <f t="shared" si="7"/>
        <v>91.65623696287024</v>
      </c>
      <c r="G62" s="106">
        <f t="shared" si="5"/>
        <v>55.80391160782321</v>
      </c>
      <c r="H62" s="104">
        <f t="shared" si="8"/>
        <v>20.00000000000003</v>
      </c>
      <c r="I62" s="104">
        <f t="shared" si="6"/>
        <v>174.00000000000003</v>
      </c>
      <c r="K62" s="153"/>
    </row>
    <row r="63" spans="1:11" s="93" customFormat="1" ht="18">
      <c r="A63" s="102" t="s">
        <v>14</v>
      </c>
      <c r="B63" s="126">
        <v>1633.1</v>
      </c>
      <c r="C63" s="127">
        <v>4866.6</v>
      </c>
      <c r="D63" s="104">
        <v>0</v>
      </c>
      <c r="E63" s="106">
        <f>D63/D59*100</f>
        <v>0</v>
      </c>
      <c r="F63" s="106">
        <f t="shared" si="7"/>
        <v>0</v>
      </c>
      <c r="G63" s="106">
        <f t="shared" si="5"/>
        <v>0</v>
      </c>
      <c r="H63" s="104">
        <f t="shared" si="8"/>
        <v>1633.1</v>
      </c>
      <c r="I63" s="104">
        <f t="shared" si="6"/>
        <v>4866.6</v>
      </c>
      <c r="K63" s="153"/>
    </row>
    <row r="64" spans="1:11" s="93" customFormat="1" ht="18.75" thickBot="1">
      <c r="A64" s="102" t="s">
        <v>27</v>
      </c>
      <c r="B64" s="127">
        <f>B59-B60-B62-B63-B61</f>
        <v>279.1000000000002</v>
      </c>
      <c r="C64" s="127">
        <f>C59-C60-C62-C63-C61</f>
        <v>823.5000000000007</v>
      </c>
      <c r="D64" s="127">
        <f>D59-D60-D62-D63-D61</f>
        <v>208.20000000000013</v>
      </c>
      <c r="E64" s="106">
        <f>D64/D59*100</f>
        <v>12.182562902282042</v>
      </c>
      <c r="F64" s="106">
        <f t="shared" si="7"/>
        <v>74.59691866714438</v>
      </c>
      <c r="G64" s="106">
        <f t="shared" si="5"/>
        <v>25.2823315118397</v>
      </c>
      <c r="H64" s="104">
        <f t="shared" si="8"/>
        <v>70.90000000000006</v>
      </c>
      <c r="I64" s="104">
        <f t="shared" si="6"/>
        <v>615.3000000000005</v>
      </c>
      <c r="K64" s="153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3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3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3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3">
        <f>C68-B68</f>
        <v>0</v>
      </c>
    </row>
    <row r="69" spans="1:11" ht="18.75" thickBot="1">
      <c r="A69" s="20" t="s">
        <v>20</v>
      </c>
      <c r="B69" s="39">
        <f>B70+B71</f>
        <v>398.20000000000005</v>
      </c>
      <c r="C69" s="39">
        <f>C70+C71</f>
        <v>541.8</v>
      </c>
      <c r="D69" s="40">
        <f>D70+D71</f>
        <v>227</v>
      </c>
      <c r="E69" s="30">
        <f>D69/D153*100</f>
        <v>0.026144031732174552</v>
      </c>
      <c r="F69" s="3">
        <f>D69/B69*100</f>
        <v>57.00652938221998</v>
      </c>
      <c r="G69" s="3">
        <f t="shared" si="5"/>
        <v>41.897379106681434</v>
      </c>
      <c r="H69" s="40">
        <f>B69-D69</f>
        <v>171.20000000000005</v>
      </c>
      <c r="I69" s="40">
        <f t="shared" si="6"/>
        <v>314.79999999999995</v>
      </c>
      <c r="J69" s="93"/>
      <c r="K69" s="153"/>
    </row>
    <row r="70" spans="1:11" s="93" customFormat="1" ht="18">
      <c r="A70" s="102" t="s">
        <v>8</v>
      </c>
      <c r="B70" s="126">
        <f>256.1+36</f>
        <v>292.1</v>
      </c>
      <c r="C70" s="127">
        <v>292.7</v>
      </c>
      <c r="D70" s="104">
        <f>169.5+50+6+1.5</f>
        <v>227</v>
      </c>
      <c r="E70" s="106">
        <f>D70/D69*100</f>
        <v>100</v>
      </c>
      <c r="F70" s="106">
        <f t="shared" si="7"/>
        <v>77.71311194796301</v>
      </c>
      <c r="G70" s="106">
        <f t="shared" si="5"/>
        <v>77.55380936112061</v>
      </c>
      <c r="H70" s="104">
        <f t="shared" si="8"/>
        <v>65.10000000000002</v>
      </c>
      <c r="I70" s="104">
        <f t="shared" si="6"/>
        <v>65.69999999999999</v>
      </c>
      <c r="K70" s="153"/>
    </row>
    <row r="71" spans="1:11" s="93" customFormat="1" ht="18.75" thickBot="1">
      <c r="A71" s="102" t="s">
        <v>9</v>
      </c>
      <c r="B71" s="126">
        <v>106.1</v>
      </c>
      <c r="C71" s="127">
        <f>293.1-30-14</f>
        <v>249.10000000000002</v>
      </c>
      <c r="D71" s="104">
        <v>0</v>
      </c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106.1</v>
      </c>
      <c r="I71" s="104">
        <f t="shared" si="6"/>
        <v>249.10000000000002</v>
      </c>
      <c r="K71" s="153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3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3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3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3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3"/>
    </row>
    <row r="77" spans="1:11" s="32" customFormat="1" ht="19.5" thickBot="1">
      <c r="A77" s="23" t="s">
        <v>13</v>
      </c>
      <c r="B77" s="46">
        <v>0</v>
      </c>
      <c r="C77" s="53">
        <f>17000-13500</f>
        <v>3500</v>
      </c>
      <c r="D77" s="54"/>
      <c r="E77" s="34"/>
      <c r="F77" s="34"/>
      <c r="G77" s="34"/>
      <c r="H77" s="54">
        <f>B77-D77</f>
        <v>0</v>
      </c>
      <c r="I77" s="54">
        <f t="shared" si="6"/>
        <v>3500</v>
      </c>
      <c r="J77" s="94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5"/>
      <c r="K80" s="153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5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5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5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D84/D153*100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D87/D153*100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3"/>
    </row>
    <row r="90" spans="1:11" ht="19.5" thickBot="1">
      <c r="A90" s="12" t="s">
        <v>10</v>
      </c>
      <c r="B90" s="45">
        <f>109554.8+50</f>
        <v>109604.8</v>
      </c>
      <c r="C90" s="39">
        <f>200580.6+2044.4+100</f>
        <v>202725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</f>
        <v>91396.29999999997</v>
      </c>
      <c r="E90" s="3">
        <f>D90/D153*100</f>
        <v>10.526289724243808</v>
      </c>
      <c r="F90" s="3">
        <f aca="true" t="shared" si="11" ref="F90:F96">D90/B90*100</f>
        <v>83.38713268032055</v>
      </c>
      <c r="G90" s="3">
        <f t="shared" si="9"/>
        <v>45.08388210630162</v>
      </c>
      <c r="H90" s="40">
        <f aca="true" t="shared" si="12" ref="H90:H96">B90-D90</f>
        <v>18208.50000000003</v>
      </c>
      <c r="I90" s="40">
        <f t="shared" si="10"/>
        <v>111328.70000000003</v>
      </c>
      <c r="J90" s="93"/>
      <c r="K90" s="153"/>
    </row>
    <row r="91" spans="1:11" s="93" customFormat="1" ht="18">
      <c r="A91" s="102" t="s">
        <v>3</v>
      </c>
      <c r="B91" s="126">
        <f>102192.2+45.2</f>
        <v>102237.4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</f>
        <v>87450.80999999997</v>
      </c>
      <c r="E91" s="106">
        <f>D91/D90*100</f>
        <v>95.68309658049614</v>
      </c>
      <c r="F91" s="106">
        <f t="shared" si="11"/>
        <v>85.53700504903291</v>
      </c>
      <c r="G91" s="106">
        <f t="shared" si="9"/>
        <v>46.038057775253165</v>
      </c>
      <c r="H91" s="104">
        <f t="shared" si="12"/>
        <v>14786.590000000026</v>
      </c>
      <c r="I91" s="104">
        <f t="shared" si="10"/>
        <v>102502.49000000002</v>
      </c>
      <c r="K91" s="153"/>
    </row>
    <row r="92" spans="1:11" s="93" customFormat="1" ht="18">
      <c r="A92" s="102" t="s">
        <v>25</v>
      </c>
      <c r="B92" s="126">
        <v>1536.1</v>
      </c>
      <c r="C92" s="127">
        <v>2776.4</v>
      </c>
      <c r="D92" s="104">
        <f>57.2+3.4+167+1.4+0.3+83.4+86.9+53.1+5.3+4.7+17+71.3+284.2+22.2+4.8+1.6+54.8+7+38.2+1.9+190+51.9+21</f>
        <v>1228.6000000000001</v>
      </c>
      <c r="E92" s="106">
        <f>D92/D90*100</f>
        <v>1.3442557302647924</v>
      </c>
      <c r="F92" s="106">
        <f t="shared" si="11"/>
        <v>79.98177202005078</v>
      </c>
      <c r="G92" s="106">
        <f t="shared" si="9"/>
        <v>44.251548768189025</v>
      </c>
      <c r="H92" s="104">
        <f t="shared" si="12"/>
        <v>307.4999999999998</v>
      </c>
      <c r="I92" s="104">
        <f t="shared" si="10"/>
        <v>1547.8</v>
      </c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5831.300000000008</v>
      </c>
      <c r="C94" s="127">
        <f>C90-C91-C92-C93</f>
        <v>9995.300000000012</v>
      </c>
      <c r="D94" s="127">
        <f>D90-D91-D92-D93</f>
        <v>2716.890000000005</v>
      </c>
      <c r="E94" s="106">
        <f>D94/D90*100</f>
        <v>2.9726476892390674</v>
      </c>
      <c r="F94" s="106">
        <f t="shared" si="11"/>
        <v>46.59149760773757</v>
      </c>
      <c r="G94" s="106">
        <f>D94/C94*100</f>
        <v>27.181675387432108</v>
      </c>
      <c r="H94" s="104">
        <f t="shared" si="12"/>
        <v>3114.4100000000035</v>
      </c>
      <c r="I94" s="104">
        <f>C94-D94</f>
        <v>7278.410000000007</v>
      </c>
      <c r="K94" s="153"/>
    </row>
    <row r="95" spans="1:11" ht="18.75">
      <c r="A95" s="82" t="s">
        <v>12</v>
      </c>
      <c r="B95" s="91">
        <f>23556.9-312.7-1000</f>
        <v>22244.2</v>
      </c>
      <c r="C95" s="85">
        <f>46414.5+100+39.4+1153.5-64.6</f>
        <v>47642.8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</f>
        <v>17475.6</v>
      </c>
      <c r="E95" s="81">
        <f>D95/D153*100</f>
        <v>2.012698858761188</v>
      </c>
      <c r="F95" s="83">
        <f t="shared" si="11"/>
        <v>78.5625016858327</v>
      </c>
      <c r="G95" s="80">
        <f>D95/C95*100</f>
        <v>36.680463784664205</v>
      </c>
      <c r="H95" s="84">
        <f t="shared" si="12"/>
        <v>4768.600000000002</v>
      </c>
      <c r="I95" s="87">
        <f>C95-D95</f>
        <v>30167.200000000004</v>
      </c>
      <c r="J95" s="93"/>
      <c r="K95" s="153"/>
    </row>
    <row r="96" spans="1:11" s="93" customFormat="1" ht="18.75" thickBot="1">
      <c r="A96" s="129" t="s">
        <v>83</v>
      </c>
      <c r="B96" s="130">
        <v>6483.7</v>
      </c>
      <c r="C96" s="131">
        <v>12814.2</v>
      </c>
      <c r="D96" s="132">
        <f>194.6+1234+3.4+0.5+79.6+1026.4+0.7+86.4+939.3+4.2+87.7+624.7+8+489.4+90.3+1.9+597.9+5.5+67.2+2.1+31.9</f>
        <v>5575.699999999998</v>
      </c>
      <c r="E96" s="133">
        <f>D96/D95*100</f>
        <v>31.90562841905284</v>
      </c>
      <c r="F96" s="134">
        <f t="shared" si="11"/>
        <v>85.99565063158379</v>
      </c>
      <c r="G96" s="135">
        <f>D96/C96*100</f>
        <v>43.511885252298214</v>
      </c>
      <c r="H96" s="136">
        <f t="shared" si="12"/>
        <v>908.0000000000018</v>
      </c>
      <c r="I96" s="125">
        <f>C96-D96</f>
        <v>7238.500000000003</v>
      </c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3"/>
    </row>
    <row r="98" spans="1:11" ht="19.5" hidden="1" thickBot="1">
      <c r="A98" s="25" t="s">
        <v>37</v>
      </c>
      <c r="B98" s="59"/>
      <c r="C98" s="60"/>
      <c r="D98" s="61"/>
      <c r="E98" s="3">
        <f>D98/D153*100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6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3">
        <f t="shared" si="13"/>
        <v>0</v>
      </c>
    </row>
    <row r="102" spans="1:11" s="32" customFormat="1" ht="19.5" thickBot="1">
      <c r="A102" s="12" t="s">
        <v>11</v>
      </c>
      <c r="B102" s="90">
        <f>8246.9-50</f>
        <v>8196.9</v>
      </c>
      <c r="C102" s="70">
        <f>11266.5-91.2+1707.2</f>
        <v>12882.5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</f>
        <v>6492.7</v>
      </c>
      <c r="E102" s="17">
        <f>D102/D153*100</f>
        <v>0.7477768935131706</v>
      </c>
      <c r="F102" s="17">
        <f>D102/B102*100</f>
        <v>79.20921323915138</v>
      </c>
      <c r="G102" s="17">
        <f aca="true" t="shared" si="14" ref="G102:G151">D102/C102*100</f>
        <v>50.39937900252281</v>
      </c>
      <c r="H102" s="65">
        <f aca="true" t="shared" si="15" ref="H102:H107">B102-D102</f>
        <v>1704.1999999999998</v>
      </c>
      <c r="I102" s="65">
        <f aca="true" t="shared" si="16" ref="I102:I151">C102-D102</f>
        <v>6389.8</v>
      </c>
      <c r="J102" s="94"/>
      <c r="K102" s="153"/>
    </row>
    <row r="103" spans="1:11" s="93" customFormat="1" ht="18.75" customHeight="1">
      <c r="A103" s="102" t="s">
        <v>3</v>
      </c>
      <c r="B103" s="118">
        <v>145.5</v>
      </c>
      <c r="C103" s="119">
        <v>363.8</v>
      </c>
      <c r="D103" s="119">
        <f>31.2+4.8+33.9</f>
        <v>69.9</v>
      </c>
      <c r="E103" s="120">
        <f>D103/D102*100</f>
        <v>1.0765937129391472</v>
      </c>
      <c r="F103" s="106">
        <f>D103/B103*100</f>
        <v>48.04123711340206</v>
      </c>
      <c r="G103" s="120">
        <f>D103/C103*100</f>
        <v>19.21385376580539</v>
      </c>
      <c r="H103" s="119">
        <f t="shared" si="15"/>
        <v>75.6</v>
      </c>
      <c r="I103" s="119">
        <f t="shared" si="16"/>
        <v>293.9</v>
      </c>
      <c r="K103" s="153"/>
    </row>
    <row r="104" spans="1:11" s="93" customFormat="1" ht="18">
      <c r="A104" s="121" t="s">
        <v>48</v>
      </c>
      <c r="B104" s="103">
        <f>7134.4-50</f>
        <v>7084.4</v>
      </c>
      <c r="C104" s="104">
        <f>8949.2-91.2+1682.1</f>
        <v>10540.1</v>
      </c>
      <c r="D104" s="104">
        <f>144.4+120.5+0.1+30.9+51.6+143.7+13.5+25.2+149.6+13.2+89.8+139.7+98.3+5.4+242.1+58+85.3+255.7+143.8+288+14+143.1+279.2+72.1+105.1+85.1+152.8+111.4+4.2+3.8+32.7+179.1+117.7+1.8+39+92.5+1.8+43.8+330+35+1.8+93.6+61.9+1.8+115.5+1668.2+140</f>
        <v>6025.8</v>
      </c>
      <c r="E104" s="106">
        <f>D104/D102*100</f>
        <v>92.80884685877987</v>
      </c>
      <c r="F104" s="106">
        <f aca="true" t="shared" si="17" ref="F104:F151">D104/B104*100</f>
        <v>85.05730901699509</v>
      </c>
      <c r="G104" s="106">
        <f t="shared" si="14"/>
        <v>57.17023557651255</v>
      </c>
      <c r="H104" s="104">
        <f t="shared" si="15"/>
        <v>1058.5999999999995</v>
      </c>
      <c r="I104" s="104">
        <f t="shared" si="16"/>
        <v>4514.3</v>
      </c>
      <c r="K104" s="153"/>
    </row>
    <row r="105" spans="1:11" s="93" customFormat="1" ht="54.7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3"/>
    </row>
    <row r="106" spans="1:11" s="93" customFormat="1" ht="18.75" thickBot="1">
      <c r="A106" s="122" t="s">
        <v>27</v>
      </c>
      <c r="B106" s="123">
        <f>B102-B103-B104</f>
        <v>967</v>
      </c>
      <c r="C106" s="123">
        <f>C102-C103-C104</f>
        <v>1978.6000000000004</v>
      </c>
      <c r="D106" s="123">
        <f>D102-D103-D104</f>
        <v>397</v>
      </c>
      <c r="E106" s="124">
        <f>D106/D102*100</f>
        <v>6.114559428280993</v>
      </c>
      <c r="F106" s="124">
        <f t="shared" si="17"/>
        <v>41.05480868665977</v>
      </c>
      <c r="G106" s="124">
        <f t="shared" si="14"/>
        <v>20.064692206610733</v>
      </c>
      <c r="H106" s="125">
        <f>B106-D106</f>
        <v>570</v>
      </c>
      <c r="I106" s="125">
        <f t="shared" si="16"/>
        <v>1581.6000000000004</v>
      </c>
      <c r="K106" s="153"/>
    </row>
    <row r="107" spans="1:12" s="2" customFormat="1" ht="26.25" customHeight="1" thickBot="1">
      <c r="A107" s="66" t="s">
        <v>28</v>
      </c>
      <c r="B107" s="67">
        <f>SUM(B108:B150)-B115-B119+B151-B141-B142-B109-B112-B122-B123-B139-B132-B130-B137</f>
        <v>236540.50000000003</v>
      </c>
      <c r="C107" s="67">
        <f>SUM(C108:C150)-C115-C119+C151-C141-C142-C109-C112-C122-C123-C139-C132-C130-C137</f>
        <v>560863.7</v>
      </c>
      <c r="D107" s="67">
        <f>SUM(D108:D150)-D115-D119+D151-D141-D142-D109-D112-D122-D123-D139-D132-D130-D137</f>
        <v>135815.49999999994</v>
      </c>
      <c r="E107" s="68">
        <f>D107/D153*100</f>
        <v>15.64213542608437</v>
      </c>
      <c r="F107" s="68">
        <f>D107/B107*100</f>
        <v>57.417440142385736</v>
      </c>
      <c r="G107" s="68">
        <f t="shared" si="14"/>
        <v>24.215419896135185</v>
      </c>
      <c r="H107" s="67">
        <f t="shared" si="15"/>
        <v>100725.00000000009</v>
      </c>
      <c r="I107" s="67">
        <f t="shared" si="16"/>
        <v>425048.2</v>
      </c>
      <c r="J107" s="113"/>
      <c r="K107" s="153"/>
      <c r="L107" s="96"/>
    </row>
    <row r="108" spans="1:12" s="93" customFormat="1" ht="37.5">
      <c r="A108" s="97" t="s">
        <v>52</v>
      </c>
      <c r="B108" s="162">
        <v>2257.5</v>
      </c>
      <c r="C108" s="159">
        <v>4459</v>
      </c>
      <c r="D108" s="98">
        <f>17.1+81.1+17.3+60.5+173.3+3.4+2+0.4+29.3+1.7+177.1+0.8+38.8+139.8+0.3+1.9+1.8+6.5+136+91.3+0.1+1.8+1.1+2.4+3.5+2+3.4+72.2+73.1+42.5+21.2+13.2+0.2+17.6-34.7+31.4+109.2</f>
        <v>1340.5999999999997</v>
      </c>
      <c r="E108" s="99">
        <f>D108/D107*100</f>
        <v>0.9870743766359512</v>
      </c>
      <c r="F108" s="99">
        <f t="shared" si="17"/>
        <v>59.38427464008858</v>
      </c>
      <c r="G108" s="99">
        <f t="shared" si="14"/>
        <v>30.065037003812506</v>
      </c>
      <c r="H108" s="100">
        <f>B108-D108</f>
        <v>916.9000000000003</v>
      </c>
      <c r="I108" s="100">
        <f t="shared" si="16"/>
        <v>3118.4000000000005</v>
      </c>
      <c r="K108" s="153"/>
      <c r="L108" s="101"/>
    </row>
    <row r="109" spans="1:12" s="93" customFormat="1" ht="18.75">
      <c r="A109" s="102" t="s">
        <v>25</v>
      </c>
      <c r="B109" s="103">
        <v>1000.3</v>
      </c>
      <c r="C109" s="104">
        <v>1995</v>
      </c>
      <c r="D109" s="105">
        <f>47.8+0.9+59.7+88.3+0.1+59.2+38.8+107.4+24+91.1+38+42.5+2+31.4</f>
        <v>631.2</v>
      </c>
      <c r="E109" s="106">
        <f>D109/D108*100</f>
        <v>47.08339549455469</v>
      </c>
      <c r="F109" s="106">
        <f t="shared" si="17"/>
        <v>63.10106967909628</v>
      </c>
      <c r="G109" s="106">
        <f t="shared" si="14"/>
        <v>31.639097744360907</v>
      </c>
      <c r="H109" s="104">
        <f aca="true" t="shared" si="18" ref="H109:H151">B109-D109</f>
        <v>369.0999999999999</v>
      </c>
      <c r="I109" s="104">
        <f t="shared" si="16"/>
        <v>1363.8</v>
      </c>
      <c r="K109" s="153"/>
      <c r="L109" s="101"/>
    </row>
    <row r="110" spans="1:12" s="93" customFormat="1" ht="34.5" customHeight="1" hidden="1">
      <c r="A110" s="107" t="s">
        <v>78</v>
      </c>
      <c r="B110" s="161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3">
        <v>110.9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110.9</v>
      </c>
      <c r="I111" s="100">
        <f t="shared" si="16"/>
        <v>200</v>
      </c>
      <c r="K111" s="153"/>
      <c r="L111" s="101"/>
    </row>
    <row r="112" spans="1:12" s="93" customFormat="1" ht="18.75" hidden="1">
      <c r="A112" s="102" t="s">
        <v>25</v>
      </c>
      <c r="B112" s="160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.75">
      <c r="A113" s="107" t="s">
        <v>89</v>
      </c>
      <c r="B113" s="163">
        <v>46.7</v>
      </c>
      <c r="C113" s="100">
        <v>64.3</v>
      </c>
      <c r="D113" s="98"/>
      <c r="E113" s="99">
        <f>D113/D107*100</f>
        <v>0</v>
      </c>
      <c r="F113" s="99">
        <f t="shared" si="17"/>
        <v>0</v>
      </c>
      <c r="G113" s="99">
        <f t="shared" si="14"/>
        <v>0</v>
      </c>
      <c r="H113" s="100">
        <f t="shared" si="18"/>
        <v>46.7</v>
      </c>
      <c r="I113" s="100">
        <f t="shared" si="16"/>
        <v>64.3</v>
      </c>
      <c r="K113" s="153"/>
      <c r="L113" s="101"/>
    </row>
    <row r="114" spans="1:12" s="93" customFormat="1" ht="37.5">
      <c r="A114" s="107" t="s">
        <v>38</v>
      </c>
      <c r="B114" s="163">
        <v>1699.7</v>
      </c>
      <c r="C114" s="100">
        <v>3311.5</v>
      </c>
      <c r="D114" s="98">
        <f>136.4+10+40+6.6+6.1+0.2+177.4+10+1.8+25.1+29.4+48.1+8.1+193.1+10+0.1+17.8+8.8+132.4+79.7+12.6+4.3+3.5+212.4+8.1+0.4</f>
        <v>1182.4</v>
      </c>
      <c r="E114" s="99">
        <f>D114/D107*100</f>
        <v>0.8705928262974407</v>
      </c>
      <c r="F114" s="99">
        <f t="shared" si="17"/>
        <v>69.56521739130434</v>
      </c>
      <c r="G114" s="99">
        <f t="shared" si="14"/>
        <v>35.70587347123661</v>
      </c>
      <c r="H114" s="100">
        <f t="shared" si="18"/>
        <v>517.3</v>
      </c>
      <c r="I114" s="100">
        <f t="shared" si="16"/>
        <v>2129.1</v>
      </c>
      <c r="K114" s="153"/>
      <c r="L114" s="101"/>
    </row>
    <row r="115" spans="1:12" s="93" customFormat="1" ht="18.75" hidden="1">
      <c r="A115" s="111" t="s">
        <v>43</v>
      </c>
      <c r="B115" s="160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61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7.5">
      <c r="A117" s="107" t="s">
        <v>47</v>
      </c>
      <c r="B117" s="163">
        <v>159</v>
      </c>
      <c r="C117" s="100">
        <v>200</v>
      </c>
      <c r="D117" s="98">
        <v>15</v>
      </c>
      <c r="E117" s="99">
        <f>D117/D107*100</f>
        <v>0.01104439478557308</v>
      </c>
      <c r="F117" s="99">
        <f>D117/B117*100</f>
        <v>9.433962264150944</v>
      </c>
      <c r="G117" s="99">
        <f t="shared" si="14"/>
        <v>7.5</v>
      </c>
      <c r="H117" s="100">
        <f t="shared" si="18"/>
        <v>144</v>
      </c>
      <c r="I117" s="100">
        <f t="shared" si="16"/>
        <v>185</v>
      </c>
      <c r="K117" s="153"/>
      <c r="L117" s="101"/>
    </row>
    <row r="118" spans="1:12" s="113" customFormat="1" ht="18.75">
      <c r="A118" s="107" t="s">
        <v>15</v>
      </c>
      <c r="B118" s="163">
        <v>268.5</v>
      </c>
      <c r="C118" s="108">
        <v>491.6</v>
      </c>
      <c r="D118" s="98">
        <f>45.4+9.9+47+6.4+0.4+0.4+45.4+0.4+2.9+45.4+4+6.8+0.4+45.4+0.1+5.8+0.8</f>
        <v>266.9000000000001</v>
      </c>
      <c r="E118" s="99">
        <f>D118/D107*100</f>
        <v>0.19651659788463038</v>
      </c>
      <c r="F118" s="99">
        <f t="shared" si="17"/>
        <v>99.40409683426446</v>
      </c>
      <c r="G118" s="99">
        <f t="shared" si="14"/>
        <v>54.29210740439383</v>
      </c>
      <c r="H118" s="100">
        <f t="shared" si="18"/>
        <v>1.599999999999909</v>
      </c>
      <c r="I118" s="100">
        <f t="shared" si="16"/>
        <v>224.69999999999993</v>
      </c>
      <c r="K118" s="153"/>
      <c r="L118" s="101"/>
    </row>
    <row r="119" spans="1:12" s="114" customFormat="1" ht="18.75">
      <c r="A119" s="111" t="s">
        <v>43</v>
      </c>
      <c r="B119" s="103">
        <v>227.1</v>
      </c>
      <c r="C119" s="104">
        <v>408.8</v>
      </c>
      <c r="D119" s="105">
        <f>45.4+45.4+45.4+45.4+45.4+0.1</f>
        <v>227.1</v>
      </c>
      <c r="E119" s="106">
        <f>D119/D118*100</f>
        <v>85.08804795803668</v>
      </c>
      <c r="F119" s="106">
        <f t="shared" si="17"/>
        <v>100</v>
      </c>
      <c r="G119" s="106">
        <f t="shared" si="14"/>
        <v>55.55283757338552</v>
      </c>
      <c r="H119" s="104">
        <f t="shared" si="18"/>
        <v>0</v>
      </c>
      <c r="I119" s="104">
        <f t="shared" si="16"/>
        <v>181.70000000000002</v>
      </c>
      <c r="K119" s="153"/>
      <c r="L119" s="101"/>
    </row>
    <row r="120" spans="1:12" s="113" customFormat="1" ht="18.75">
      <c r="A120" s="107" t="s">
        <v>105</v>
      </c>
      <c r="B120" s="163">
        <v>125</v>
      </c>
      <c r="C120" s="108">
        <v>317</v>
      </c>
      <c r="D120" s="98">
        <v>3.6</v>
      </c>
      <c r="E120" s="99">
        <f>D120/D107*100</f>
        <v>0.002650654748537539</v>
      </c>
      <c r="F120" s="99">
        <f t="shared" si="17"/>
        <v>2.88</v>
      </c>
      <c r="G120" s="99">
        <f t="shared" si="14"/>
        <v>1.135646687697161</v>
      </c>
      <c r="H120" s="100">
        <f t="shared" si="18"/>
        <v>121.4</v>
      </c>
      <c r="I120" s="100">
        <f t="shared" si="16"/>
        <v>313.4</v>
      </c>
      <c r="K120" s="153"/>
      <c r="L120" s="101"/>
    </row>
    <row r="121" spans="1:12" s="113" customFormat="1" ht="21.75" customHeight="1">
      <c r="A121" s="107" t="s">
        <v>94</v>
      </c>
      <c r="B121" s="163">
        <f>480-268.6</f>
        <v>211.39999999999998</v>
      </c>
      <c r="C121" s="108">
        <f>480+80</f>
        <v>560</v>
      </c>
      <c r="D121" s="109">
        <f>12</f>
        <v>12</v>
      </c>
      <c r="E121" s="112">
        <f>D121/D107*100</f>
        <v>0.008835515828458464</v>
      </c>
      <c r="F121" s="99">
        <f t="shared" si="17"/>
        <v>5.676442762535478</v>
      </c>
      <c r="G121" s="99">
        <f t="shared" si="14"/>
        <v>2.142857142857143</v>
      </c>
      <c r="H121" s="100">
        <f t="shared" si="18"/>
        <v>199.39999999999998</v>
      </c>
      <c r="I121" s="100">
        <f t="shared" si="16"/>
        <v>548</v>
      </c>
      <c r="K121" s="153">
        <f>H108+H111+H113+H114+H117+H118+H120+H125+H126+H127+H129+H131+H135+H136+H138+H69</f>
        <v>3419.3</v>
      </c>
      <c r="L121" s="101"/>
    </row>
    <row r="122" spans="1:12" s="116" customFormat="1" ht="18.75" hidden="1">
      <c r="A122" s="102" t="s">
        <v>80</v>
      </c>
      <c r="B122" s="160"/>
      <c r="C122" s="104"/>
      <c r="D122" s="105"/>
      <c r="E122" s="99"/>
      <c r="F122" s="115" t="e">
        <f>D122/B122*100</f>
        <v>#DIV/0!</v>
      </c>
      <c r="G122" s="106" t="e">
        <f t="shared" si="14"/>
        <v>#DIV/0!</v>
      </c>
      <c r="H122" s="104">
        <f t="shared" si="18"/>
        <v>0</v>
      </c>
      <c r="I122" s="104">
        <f t="shared" si="16"/>
        <v>0</v>
      </c>
      <c r="K122" s="153"/>
      <c r="L122" s="101"/>
    </row>
    <row r="123" spans="1:12" s="116" customFormat="1" ht="18.75" hidden="1">
      <c r="A123" s="102" t="s">
        <v>49</v>
      </c>
      <c r="B123" s="160"/>
      <c r="C123" s="104"/>
      <c r="D123" s="105"/>
      <c r="E123" s="99"/>
      <c r="F123" s="106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53"/>
      <c r="L123" s="101"/>
    </row>
    <row r="124" spans="1:12" s="113" customFormat="1" ht="37.5">
      <c r="A124" s="107" t="s">
        <v>95</v>
      </c>
      <c r="B124" s="163">
        <f>24768.3+1268.6</f>
        <v>26036.899999999998</v>
      </c>
      <c r="C124" s="108">
        <v>45511.3</v>
      </c>
      <c r="D124" s="109">
        <f>3529.6+2264.3+1265.3+2996.5+533.1+738.7+2380.2+1722.3+1049.4+1874.1+1476.2+1455.5+94.4+1416</f>
        <v>22795.600000000002</v>
      </c>
      <c r="E124" s="112">
        <f>D124/D107*100</f>
        <v>16.784240384933984</v>
      </c>
      <c r="F124" s="99">
        <f t="shared" si="17"/>
        <v>87.55112935871784</v>
      </c>
      <c r="G124" s="99">
        <f t="shared" si="14"/>
        <v>50.08778039739581</v>
      </c>
      <c r="H124" s="100">
        <f t="shared" si="18"/>
        <v>3241.2999999999956</v>
      </c>
      <c r="I124" s="100">
        <f t="shared" si="16"/>
        <v>22715.7</v>
      </c>
      <c r="K124" s="153"/>
      <c r="L124" s="101"/>
    </row>
    <row r="125" spans="1:12" s="113" customFormat="1" ht="18.75">
      <c r="A125" s="107" t="s">
        <v>91</v>
      </c>
      <c r="B125" s="163">
        <v>655</v>
      </c>
      <c r="C125" s="108">
        <v>700</v>
      </c>
      <c r="D125" s="109"/>
      <c r="E125" s="112">
        <f>D125/D107*100</f>
        <v>0</v>
      </c>
      <c r="F125" s="99">
        <f t="shared" si="17"/>
        <v>0</v>
      </c>
      <c r="G125" s="99">
        <f t="shared" si="14"/>
        <v>0</v>
      </c>
      <c r="H125" s="100">
        <f t="shared" si="18"/>
        <v>655</v>
      </c>
      <c r="I125" s="100">
        <f t="shared" si="16"/>
        <v>700</v>
      </c>
      <c r="K125" s="153"/>
      <c r="L125" s="101"/>
    </row>
    <row r="126" spans="1:12" s="113" customFormat="1" ht="37.5">
      <c r="A126" s="107" t="s">
        <v>100</v>
      </c>
      <c r="B126" s="163">
        <v>200</v>
      </c>
      <c r="C126" s="108">
        <v>200</v>
      </c>
      <c r="D126" s="109"/>
      <c r="E126" s="112">
        <f>D126/D107*100</f>
        <v>0</v>
      </c>
      <c r="F126" s="99">
        <f t="shared" si="17"/>
        <v>0</v>
      </c>
      <c r="G126" s="99">
        <f t="shared" si="14"/>
        <v>0</v>
      </c>
      <c r="H126" s="100">
        <f t="shared" si="18"/>
        <v>200</v>
      </c>
      <c r="I126" s="100">
        <f t="shared" si="16"/>
        <v>200</v>
      </c>
      <c r="K126" s="153"/>
      <c r="L126" s="101"/>
    </row>
    <row r="127" spans="1:12" s="113" customFormat="1" ht="37.5">
      <c r="A127" s="107" t="s">
        <v>85</v>
      </c>
      <c r="B127" s="163">
        <v>74</v>
      </c>
      <c r="C127" s="108">
        <f>111.1</f>
        <v>111.1</v>
      </c>
      <c r="D127" s="109"/>
      <c r="E127" s="112">
        <f>D127/D107*100</f>
        <v>0</v>
      </c>
      <c r="F127" s="99">
        <f t="shared" si="17"/>
        <v>0</v>
      </c>
      <c r="G127" s="99">
        <f t="shared" si="14"/>
        <v>0</v>
      </c>
      <c r="H127" s="100">
        <f t="shared" si="18"/>
        <v>74</v>
      </c>
      <c r="I127" s="100">
        <f t="shared" si="16"/>
        <v>111.1</v>
      </c>
      <c r="K127" s="153"/>
      <c r="L127" s="101"/>
    </row>
    <row r="128" spans="1:12" s="113" customFormat="1" ht="18.75" hidden="1">
      <c r="A128" s="111" t="s">
        <v>83</v>
      </c>
      <c r="B128" s="161"/>
      <c r="C128" s="108"/>
      <c r="D128" s="109"/>
      <c r="E128" s="112">
        <f>D128/D108*100</f>
        <v>0</v>
      </c>
      <c r="F128" s="99" t="e">
        <f t="shared" si="17"/>
        <v>#DIV/0!</v>
      </c>
      <c r="G128" s="99" t="e">
        <f t="shared" si="14"/>
        <v>#DIV/0!</v>
      </c>
      <c r="H128" s="100">
        <f t="shared" si="18"/>
        <v>0</v>
      </c>
      <c r="I128" s="100">
        <f t="shared" si="16"/>
        <v>0</v>
      </c>
      <c r="K128" s="153"/>
      <c r="L128" s="101"/>
    </row>
    <row r="129" spans="1:12" s="113" customFormat="1" ht="37.5">
      <c r="A129" s="107" t="s">
        <v>57</v>
      </c>
      <c r="B129" s="163">
        <v>255.5</v>
      </c>
      <c r="C129" s="108">
        <v>942</v>
      </c>
      <c r="D129" s="109">
        <f>7+4.2+0.1+12.3+0.2+7.1+17.8+14.9+1.7+0.1+7.4+7+2.7+3.7+7.1+5.3+31.3+16.4+2.5+1.7+26.7+0.1+13.8+0.1+2.9+6.5+0.6+7</f>
        <v>208.2</v>
      </c>
      <c r="E129" s="112">
        <f>D129/D107*100</f>
        <v>0.15329619962375435</v>
      </c>
      <c r="F129" s="99">
        <f t="shared" si="17"/>
        <v>81.48727984344423</v>
      </c>
      <c r="G129" s="99">
        <f t="shared" si="14"/>
        <v>22.101910828025474</v>
      </c>
      <c r="H129" s="100">
        <f t="shared" si="18"/>
        <v>47.30000000000001</v>
      </c>
      <c r="I129" s="100">
        <f t="shared" si="16"/>
        <v>733.8</v>
      </c>
      <c r="K129" s="153"/>
      <c r="L129" s="101"/>
    </row>
    <row r="130" spans="1:12" s="114" customFormat="1" ht="18.75">
      <c r="A130" s="102" t="s">
        <v>88</v>
      </c>
      <c r="B130" s="103">
        <v>43.6</v>
      </c>
      <c r="C130" s="104">
        <v>510.8</v>
      </c>
      <c r="D130" s="105">
        <f>7+7.1+7+7.1+7</f>
        <v>35.2</v>
      </c>
      <c r="E130" s="106">
        <f>D130/D129*100</f>
        <v>16.906820365033624</v>
      </c>
      <c r="F130" s="106">
        <f>D130/B130*100</f>
        <v>80.73394495412845</v>
      </c>
      <c r="G130" s="106">
        <f t="shared" si="14"/>
        <v>6.891151135473766</v>
      </c>
      <c r="H130" s="104">
        <f t="shared" si="18"/>
        <v>8.399999999999999</v>
      </c>
      <c r="I130" s="104">
        <f t="shared" si="16"/>
        <v>475.6</v>
      </c>
      <c r="K130" s="153"/>
      <c r="L130" s="101"/>
    </row>
    <row r="131" spans="1:12" s="113" customFormat="1" ht="37.5">
      <c r="A131" s="107" t="s">
        <v>103</v>
      </c>
      <c r="B131" s="163">
        <v>210</v>
      </c>
      <c r="C131" s="108">
        <v>485</v>
      </c>
      <c r="D131" s="109"/>
      <c r="E131" s="112">
        <f>D131/D107*100</f>
        <v>0</v>
      </c>
      <c r="F131" s="110">
        <f t="shared" si="17"/>
        <v>0</v>
      </c>
      <c r="G131" s="99">
        <f t="shared" si="14"/>
        <v>0</v>
      </c>
      <c r="H131" s="100">
        <f t="shared" si="18"/>
        <v>210</v>
      </c>
      <c r="I131" s="100">
        <f t="shared" si="16"/>
        <v>485</v>
      </c>
      <c r="K131" s="153"/>
      <c r="L131" s="101"/>
    </row>
    <row r="132" spans="1:12" s="114" customFormat="1" ht="18.75" hidden="1">
      <c r="A132" s="111" t="s">
        <v>43</v>
      </c>
      <c r="B132" s="160"/>
      <c r="C132" s="104"/>
      <c r="D132" s="105"/>
      <c r="E132" s="106"/>
      <c r="F132" s="106" t="e">
        <f>D132/B132*100</f>
        <v>#DIV/0!</v>
      </c>
      <c r="G132" s="106" t="e">
        <f t="shared" si="14"/>
        <v>#DIV/0!</v>
      </c>
      <c r="H132" s="104">
        <f t="shared" si="18"/>
        <v>0</v>
      </c>
      <c r="I132" s="104">
        <f t="shared" si="16"/>
        <v>0</v>
      </c>
      <c r="K132" s="153"/>
      <c r="L132" s="101"/>
    </row>
    <row r="133" spans="1:12" s="113" customFormat="1" ht="35.25" customHeight="1" hidden="1">
      <c r="A133" s="107" t="s">
        <v>102</v>
      </c>
      <c r="B133" s="161"/>
      <c r="C133" s="108"/>
      <c r="D133" s="109"/>
      <c r="E133" s="112">
        <f>D133/D107*100</f>
        <v>0</v>
      </c>
      <c r="F133" s="99" t="e">
        <f t="shared" si="17"/>
        <v>#DIV/0!</v>
      </c>
      <c r="G133" s="99" t="e">
        <f t="shared" si="14"/>
        <v>#DIV/0!</v>
      </c>
      <c r="H133" s="100">
        <f t="shared" si="18"/>
        <v>0</v>
      </c>
      <c r="I133" s="100">
        <f>C133-D133</f>
        <v>0</v>
      </c>
      <c r="K133" s="153"/>
      <c r="L133" s="101"/>
    </row>
    <row r="134" spans="1:12" s="113" customFormat="1" ht="21.75" customHeight="1" hidden="1">
      <c r="A134" s="107" t="s">
        <v>101</v>
      </c>
      <c r="B134" s="161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 t="shared" si="16"/>
        <v>0</v>
      </c>
      <c r="K134" s="153"/>
      <c r="L134" s="101"/>
    </row>
    <row r="135" spans="1:12" s="113" customFormat="1" ht="35.25" customHeight="1">
      <c r="A135" s="107" t="s">
        <v>87</v>
      </c>
      <c r="B135" s="163">
        <f>175-120</f>
        <v>55</v>
      </c>
      <c r="C135" s="108">
        <v>383.2</v>
      </c>
      <c r="D135" s="109">
        <f>2.9+1.5+9.7+8.2+0.2-0.4+16</f>
        <v>38.099999999999994</v>
      </c>
      <c r="E135" s="112">
        <f>D135/D107*100</f>
        <v>0.02805276275535562</v>
      </c>
      <c r="F135" s="99">
        <f t="shared" si="17"/>
        <v>69.27272727272727</v>
      </c>
      <c r="G135" s="99">
        <f t="shared" si="14"/>
        <v>9.942588726513568</v>
      </c>
      <c r="H135" s="100">
        <f t="shared" si="18"/>
        <v>16.900000000000006</v>
      </c>
      <c r="I135" s="100">
        <f t="shared" si="16"/>
        <v>345.1</v>
      </c>
      <c r="K135" s="153"/>
      <c r="L135" s="101"/>
    </row>
    <row r="136" spans="1:12" s="113" customFormat="1" ht="39" customHeight="1">
      <c r="A136" s="107" t="s">
        <v>54</v>
      </c>
      <c r="B136" s="163">
        <v>120</v>
      </c>
      <c r="C136" s="108">
        <v>350</v>
      </c>
      <c r="D136" s="109">
        <v>3.7</v>
      </c>
      <c r="E136" s="112">
        <f>D136/D107*100</f>
        <v>0.0027242840471080267</v>
      </c>
      <c r="F136" s="99">
        <f t="shared" si="17"/>
        <v>3.0833333333333335</v>
      </c>
      <c r="G136" s="99">
        <f t="shared" si="14"/>
        <v>1.0571428571428572</v>
      </c>
      <c r="H136" s="100">
        <f t="shared" si="18"/>
        <v>116.3</v>
      </c>
      <c r="I136" s="100">
        <f t="shared" si="16"/>
        <v>346.3</v>
      </c>
      <c r="K136" s="153"/>
      <c r="L136" s="101"/>
    </row>
    <row r="137" spans="1:12" s="114" customFormat="1" ht="18.75">
      <c r="A137" s="102" t="s">
        <v>88</v>
      </c>
      <c r="B137" s="103">
        <v>38</v>
      </c>
      <c r="C137" s="104">
        <v>110</v>
      </c>
      <c r="D137" s="105">
        <v>3.7</v>
      </c>
      <c r="E137" s="106"/>
      <c r="F137" s="99">
        <f>D137/B137*100</f>
        <v>9.73684210526316</v>
      </c>
      <c r="G137" s="106">
        <f>D137/C137*100</f>
        <v>3.3636363636363638</v>
      </c>
      <c r="H137" s="104">
        <f>B137-D137</f>
        <v>34.3</v>
      </c>
      <c r="I137" s="104">
        <f>C137-D137</f>
        <v>106.3</v>
      </c>
      <c r="K137" s="153"/>
      <c r="L137" s="101"/>
    </row>
    <row r="138" spans="1:12" s="113" customFormat="1" ht="32.25" customHeight="1">
      <c r="A138" s="107" t="s">
        <v>84</v>
      </c>
      <c r="B138" s="163">
        <v>345.7</v>
      </c>
      <c r="C138" s="108">
        <v>607.7</v>
      </c>
      <c r="D138" s="109">
        <f>76+0.3+41+44+1.8+16.3+2.4+30+0.6+0.2+27.4+0.2+4.5-0.2+31.4</f>
        <v>275.90000000000003</v>
      </c>
      <c r="E138" s="112">
        <f>D138/D107*100</f>
        <v>0.2031432347559742</v>
      </c>
      <c r="F138" s="99">
        <f>D138/B138*100</f>
        <v>79.80908301995952</v>
      </c>
      <c r="G138" s="99">
        <f>D138/C138*100</f>
        <v>45.40069113049202</v>
      </c>
      <c r="H138" s="100">
        <f t="shared" si="18"/>
        <v>69.79999999999995</v>
      </c>
      <c r="I138" s="100">
        <f t="shared" si="16"/>
        <v>331.8</v>
      </c>
      <c r="K138" s="177"/>
      <c r="L138" s="178"/>
    </row>
    <row r="139" spans="1:12" s="114" customFormat="1" ht="18.75">
      <c r="A139" s="102" t="s">
        <v>25</v>
      </c>
      <c r="B139" s="103">
        <v>283.8</v>
      </c>
      <c r="C139" s="104">
        <v>489.6</v>
      </c>
      <c r="D139" s="105">
        <f>76+37.6+44+1.2+0.7+30+27.4+30.6</f>
        <v>247.49999999999997</v>
      </c>
      <c r="E139" s="106">
        <f>D139/D138*100</f>
        <v>89.70641536788689</v>
      </c>
      <c r="F139" s="106">
        <f t="shared" si="17"/>
        <v>87.20930232558139</v>
      </c>
      <c r="G139" s="106">
        <f>D139/C139*100</f>
        <v>50.55147058823528</v>
      </c>
      <c r="H139" s="104">
        <f t="shared" si="18"/>
        <v>36.30000000000004</v>
      </c>
      <c r="I139" s="104">
        <f t="shared" si="16"/>
        <v>242.10000000000005</v>
      </c>
      <c r="K139" s="177"/>
      <c r="L139" s="178"/>
    </row>
    <row r="140" spans="1:12" s="113" customFormat="1" ht="18.75">
      <c r="A140" s="107" t="s">
        <v>96</v>
      </c>
      <c r="B140" s="163">
        <v>892</v>
      </c>
      <c r="C140" s="108">
        <v>1760</v>
      </c>
      <c r="D140" s="109">
        <f>107.3+0.4+30.4+78.2+4.1+36.9+117.9+50.5+112.6+5.2+52.3+10.5+76.8-0.2+10.4+82.9</f>
        <v>776.1999999999999</v>
      </c>
      <c r="E140" s="112">
        <f>D140/D107*100</f>
        <v>0.5715106155041216</v>
      </c>
      <c r="F140" s="99">
        <f t="shared" si="17"/>
        <v>87.01793721973094</v>
      </c>
      <c r="G140" s="99">
        <f t="shared" si="14"/>
        <v>44.10227272727273</v>
      </c>
      <c r="H140" s="100">
        <f t="shared" si="18"/>
        <v>115.80000000000007</v>
      </c>
      <c r="I140" s="100">
        <f t="shared" si="16"/>
        <v>983.8000000000001</v>
      </c>
      <c r="K140" s="177"/>
      <c r="L140" s="178"/>
    </row>
    <row r="141" spans="1:12" s="114" customFormat="1" ht="18.75">
      <c r="A141" s="111" t="s">
        <v>43</v>
      </c>
      <c r="B141" s="103">
        <v>713.6</v>
      </c>
      <c r="C141" s="104">
        <v>1437.4</v>
      </c>
      <c r="D141" s="105">
        <f>107.3+25.4+76+34+76.6+47.2+83.8+4.5+35.4+76.8-0.2+60.7</f>
        <v>627.4999999999999</v>
      </c>
      <c r="E141" s="106">
        <f>D141/D140*100</f>
        <v>80.84256634887915</v>
      </c>
      <c r="F141" s="106">
        <f aca="true" t="shared" si="19" ref="F141:F150">D141/B141*100</f>
        <v>87.93441704035872</v>
      </c>
      <c r="G141" s="106">
        <f t="shared" si="14"/>
        <v>43.655210797272844</v>
      </c>
      <c r="H141" s="104">
        <f t="shared" si="18"/>
        <v>86.10000000000014</v>
      </c>
      <c r="I141" s="104">
        <f t="shared" si="16"/>
        <v>809.9000000000002</v>
      </c>
      <c r="K141" s="177"/>
      <c r="L141" s="178"/>
    </row>
    <row r="142" spans="1:13" s="114" customFormat="1" ht="18.75">
      <c r="A142" s="102" t="s">
        <v>25</v>
      </c>
      <c r="B142" s="103">
        <v>27.2</v>
      </c>
      <c r="C142" s="104">
        <v>40</v>
      </c>
      <c r="D142" s="105">
        <f>0.4+4.9+0.7+4.7+3.3+0.4+0.7+0.6</f>
        <v>15.7</v>
      </c>
      <c r="E142" s="106">
        <f>D142/D140*100</f>
        <v>2.0226745684102037</v>
      </c>
      <c r="F142" s="106">
        <f t="shared" si="19"/>
        <v>57.720588235294116</v>
      </c>
      <c r="G142" s="106">
        <f>D142/C142*100</f>
        <v>39.24999999999999</v>
      </c>
      <c r="H142" s="104">
        <f t="shared" si="18"/>
        <v>11.5</v>
      </c>
      <c r="I142" s="104">
        <f t="shared" si="16"/>
        <v>24.3</v>
      </c>
      <c r="K142" s="177"/>
      <c r="L142" s="178"/>
      <c r="M142" s="154"/>
    </row>
    <row r="143" spans="1:12" s="113" customFormat="1" ht="33.75" customHeight="1">
      <c r="A143" s="117" t="s">
        <v>56</v>
      </c>
      <c r="B143" s="163">
        <f>90+7.5+527</f>
        <v>624.5</v>
      </c>
      <c r="C143" s="108">
        <f>90+534.5</f>
        <v>624.5</v>
      </c>
      <c r="D143" s="109">
        <f>7.5+527</f>
        <v>534.5</v>
      </c>
      <c r="E143" s="112">
        <f>D143/D107*100</f>
        <v>0.3935486008592541</v>
      </c>
      <c r="F143" s="99">
        <f t="shared" si="19"/>
        <v>85.58847077662129</v>
      </c>
      <c r="G143" s="99">
        <f t="shared" si="14"/>
        <v>85.58847077662129</v>
      </c>
      <c r="H143" s="100">
        <f t="shared" si="18"/>
        <v>90</v>
      </c>
      <c r="I143" s="100">
        <f t="shared" si="16"/>
        <v>90</v>
      </c>
      <c r="K143" s="177"/>
      <c r="L143" s="178"/>
    </row>
    <row r="144" spans="1:12" s="113" customFormat="1" ht="18.75" hidden="1">
      <c r="A144" s="117" t="s">
        <v>92</v>
      </c>
      <c r="B144" s="161"/>
      <c r="C144" s="108"/>
      <c r="D144" s="109"/>
      <c r="E144" s="112">
        <f>D144/D107*100</f>
        <v>0</v>
      </c>
      <c r="F144" s="99" t="e">
        <f>D144/B144*100</f>
        <v>#DIV/0!</v>
      </c>
      <c r="G144" s="99" t="e">
        <f t="shared" si="14"/>
        <v>#DIV/0!</v>
      </c>
      <c r="H144" s="100">
        <f t="shared" si="18"/>
        <v>0</v>
      </c>
      <c r="I144" s="100">
        <f t="shared" si="16"/>
        <v>0</v>
      </c>
      <c r="K144" s="177"/>
      <c r="L144" s="178"/>
    </row>
    <row r="145" spans="1:12" s="113" customFormat="1" ht="18.75">
      <c r="A145" s="117" t="s">
        <v>97</v>
      </c>
      <c r="B145" s="163">
        <f>22821.5-1011</f>
        <v>21810.5</v>
      </c>
      <c r="C145" s="108">
        <f>56447.1-100+1500-3000</f>
        <v>54847.1</v>
      </c>
      <c r="D145" s="109">
        <f>254.7+197.5+629.8+725.8+539.8+84+74.2+508.7+16.5+120.5+1481.6+832.6+99.5+375.2+120.4+395.9+31.6+377+15.9+619.7+572.8+566.7+1034+62.7+188.4+419+37.7+634.6+518.2+928.5+377.6+1251.3+39.1+1691.8+858.6+220.3+52.6+57.3+368.9+54.7+360.9</f>
        <v>17796.600000000002</v>
      </c>
      <c r="E145" s="112">
        <f>D145/D107*100</f>
        <v>13.103511749395327</v>
      </c>
      <c r="F145" s="99">
        <f t="shared" si="19"/>
        <v>81.59647876023017</v>
      </c>
      <c r="G145" s="99">
        <f t="shared" si="14"/>
        <v>32.447659037579015</v>
      </c>
      <c r="H145" s="100">
        <f t="shared" si="18"/>
        <v>4013.899999999998</v>
      </c>
      <c r="I145" s="100">
        <f t="shared" si="16"/>
        <v>37050.5</v>
      </c>
      <c r="K145" s="177"/>
      <c r="L145" s="178"/>
    </row>
    <row r="146" spans="1:12" s="113" customFormat="1" ht="18.75" hidden="1">
      <c r="A146" s="117" t="s">
        <v>86</v>
      </c>
      <c r="B146" s="161"/>
      <c r="C146" s="108"/>
      <c r="D146" s="109"/>
      <c r="E146" s="112">
        <f>D146/D107*100</f>
        <v>0</v>
      </c>
      <c r="F146" s="99" t="e">
        <f t="shared" si="19"/>
        <v>#DIV/0!</v>
      </c>
      <c r="G146" s="99" t="e">
        <f t="shared" si="14"/>
        <v>#DIV/0!</v>
      </c>
      <c r="H146" s="100">
        <f t="shared" si="18"/>
        <v>0</v>
      </c>
      <c r="I146" s="100">
        <f t="shared" si="16"/>
        <v>0</v>
      </c>
      <c r="K146" s="177"/>
      <c r="L146" s="178"/>
    </row>
    <row r="147" spans="1:12" s="113" customFormat="1" ht="37.5" hidden="1">
      <c r="A147" s="117" t="s">
        <v>104</v>
      </c>
      <c r="B147" s="161"/>
      <c r="C147" s="108"/>
      <c r="D147" s="109"/>
      <c r="E147" s="112">
        <f>D147/D109*100</f>
        <v>0</v>
      </c>
      <c r="F147" s="99" t="e">
        <f>D147/B147*100</f>
        <v>#DIV/0!</v>
      </c>
      <c r="G147" s="99" t="e">
        <f>D147/C147*100</f>
        <v>#DIV/0!</v>
      </c>
      <c r="H147" s="100">
        <f>B147-D147</f>
        <v>0</v>
      </c>
      <c r="I147" s="100">
        <f>C147-D147</f>
        <v>0</v>
      </c>
      <c r="K147" s="177"/>
      <c r="L147" s="178"/>
    </row>
    <row r="148" spans="1:12" s="113" customFormat="1" ht="18.75">
      <c r="A148" s="107" t="s">
        <v>98</v>
      </c>
      <c r="B148" s="163">
        <v>89.4</v>
      </c>
      <c r="C148" s="108">
        <v>162.3</v>
      </c>
      <c r="D148" s="109">
        <f>46.4+43</f>
        <v>89.4</v>
      </c>
      <c r="E148" s="112">
        <f>D148/D107*100</f>
        <v>0.06582459292201556</v>
      </c>
      <c r="F148" s="99">
        <f t="shared" si="19"/>
        <v>100</v>
      </c>
      <c r="G148" s="99">
        <f t="shared" si="14"/>
        <v>55.08317929759704</v>
      </c>
      <c r="H148" s="100">
        <f t="shared" si="18"/>
        <v>0</v>
      </c>
      <c r="I148" s="100">
        <f t="shared" si="16"/>
        <v>72.9</v>
      </c>
      <c r="K148" s="177"/>
      <c r="L148" s="178"/>
    </row>
    <row r="149" spans="1:12" s="113" customFormat="1" ht="18" customHeight="1">
      <c r="A149" s="107" t="s">
        <v>77</v>
      </c>
      <c r="B149" s="163">
        <v>6260.2</v>
      </c>
      <c r="C149" s="108">
        <f>10563.8+657.7</f>
        <v>11221.5</v>
      </c>
      <c r="D149" s="109">
        <f>791.9+575.3+777.6+830.9+722.1+47.7+657.7+821-47.6</f>
        <v>5176.599999999999</v>
      </c>
      <c r="E149" s="112">
        <f>D149/D107*100</f>
        <v>3.81149426979984</v>
      </c>
      <c r="F149" s="99">
        <f t="shared" si="19"/>
        <v>82.69064886105875</v>
      </c>
      <c r="G149" s="99">
        <f t="shared" si="14"/>
        <v>46.13108764425433</v>
      </c>
      <c r="H149" s="100">
        <f t="shared" si="18"/>
        <v>1083.6000000000004</v>
      </c>
      <c r="I149" s="100">
        <f t="shared" si="16"/>
        <v>6044.900000000001</v>
      </c>
      <c r="K149" s="179"/>
      <c r="L149" s="180"/>
    </row>
    <row r="150" spans="1:12" s="113" customFormat="1" ht="19.5" customHeight="1">
      <c r="A150" s="147" t="s">
        <v>50</v>
      </c>
      <c r="B150" s="165">
        <f>151473.2+1011+432.7</f>
        <v>152916.90000000002</v>
      </c>
      <c r="C150" s="148">
        <f>350771.5+40351.1</f>
        <v>391122.6</v>
      </c>
      <c r="D150" s="14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</f>
        <v>66530.2</v>
      </c>
      <c r="E150" s="150">
        <f>D150/D107*100</f>
        <v>48.98571959754227</v>
      </c>
      <c r="F150" s="151">
        <f t="shared" si="19"/>
        <v>43.507421351073674</v>
      </c>
      <c r="G150" s="151">
        <f t="shared" si="14"/>
        <v>17.010062829404387</v>
      </c>
      <c r="H150" s="152">
        <f t="shared" si="18"/>
        <v>86386.70000000003</v>
      </c>
      <c r="I150" s="152">
        <f>C150-D150</f>
        <v>324592.39999999997</v>
      </c>
      <c r="K150" s="179"/>
      <c r="L150" s="180"/>
    </row>
    <row r="151" spans="1:12" s="113" customFormat="1" ht="18.75">
      <c r="A151" s="107" t="s">
        <v>99</v>
      </c>
      <c r="B151" s="163">
        <v>21116.2</v>
      </c>
      <c r="C151" s="108">
        <v>42232</v>
      </c>
      <c r="D151" s="109">
        <f>819+819+819.1+1062.3+1173.1+1173.1+1173.2+1173.1+1173.1+1173.2+1173.1+1173.1+1173.2+1173.1+1173.1+1173.1+1173.1</f>
        <v>18770</v>
      </c>
      <c r="E151" s="112">
        <f>D151/D107*100</f>
        <v>13.820219341680447</v>
      </c>
      <c r="F151" s="99">
        <f t="shared" si="17"/>
        <v>88.88909936446898</v>
      </c>
      <c r="G151" s="99">
        <f t="shared" si="14"/>
        <v>44.44497063837848</v>
      </c>
      <c r="H151" s="100">
        <f t="shared" si="18"/>
        <v>2346.2000000000007</v>
      </c>
      <c r="I151" s="100">
        <f t="shared" si="16"/>
        <v>23462</v>
      </c>
      <c r="K151" s="179"/>
      <c r="L151" s="180"/>
    </row>
    <row r="152" spans="1:12" s="2" customFormat="1" ht="19.5" thickBot="1">
      <c r="A152" s="29" t="s">
        <v>29</v>
      </c>
      <c r="B152" s="164"/>
      <c r="C152" s="63"/>
      <c r="D152" s="44">
        <f>D43+D69+D72+D77+D79+D87+D102+D107+D100+D84+D98</f>
        <v>143020.09999999995</v>
      </c>
      <c r="E152" s="15"/>
      <c r="F152" s="15"/>
      <c r="G152" s="6"/>
      <c r="H152" s="52"/>
      <c r="I152" s="44"/>
      <c r="K152" s="179"/>
      <c r="L152" s="181"/>
    </row>
    <row r="153" spans="1:12" ht="19.5" thickBot="1">
      <c r="A153" s="12" t="s">
        <v>18</v>
      </c>
      <c r="B153" s="40">
        <f>B6+B18+B33+B43+B51+B59+B69+B72+B77+B79+B87+B90+B95+B102+B107+B100+B84+B98+B45</f>
        <v>1108855.7</v>
      </c>
      <c r="C153" s="40">
        <f>C6+C18+C33+C43+C51+C59+C69+C72+C77+C79+C87+C90+C95+C102+C107+C100+C84+C98+C45</f>
        <v>2165149.5</v>
      </c>
      <c r="D153" s="40">
        <f>D6+D18+D33+D43+D51+D59+D69+D72+D77+D79+D87+D90+D95+D102+D107+D100+D84+D98+D45</f>
        <v>868266.9999999999</v>
      </c>
      <c r="E153" s="28">
        <v>100</v>
      </c>
      <c r="F153" s="3">
        <f>D153/B153*100</f>
        <v>78.3029748595782</v>
      </c>
      <c r="G153" s="3">
        <f aca="true" t="shared" si="20" ref="G153:G159">D153/C153*100</f>
        <v>40.10194215226246</v>
      </c>
      <c r="H153" s="40">
        <f aca="true" t="shared" si="21" ref="H153:H159">B153-D153</f>
        <v>240588.70000000007</v>
      </c>
      <c r="I153" s="40">
        <f aca="true" t="shared" si="22" ref="I153:I159">C153-D153</f>
        <v>1296882.5</v>
      </c>
      <c r="K153" s="182"/>
      <c r="L153" s="183"/>
    </row>
    <row r="154" spans="1:12" ht="18.75">
      <c r="A154" s="16" t="s">
        <v>5</v>
      </c>
      <c r="B154" s="51">
        <f>B8+B20+B34+B52+B60+B91+B115+B119+B46+B141+B132+B103</f>
        <v>509364.69999999995</v>
      </c>
      <c r="C154" s="51">
        <f>C8+C20+C34+C52+C60+C91+C115+C119+C46+C141+C132+C103</f>
        <v>896180.8</v>
      </c>
      <c r="D154" s="51">
        <f>D8+D20+D34+D52+D60+D91+D115+D119+D46+D141+D132+D103</f>
        <v>436979.11000000004</v>
      </c>
      <c r="E154" s="6">
        <f>D154/D153*100</f>
        <v>50.3277344411339</v>
      </c>
      <c r="F154" s="6">
        <f aca="true" t="shared" si="23" ref="F154:F159">D154/B154*100</f>
        <v>85.78904466681733</v>
      </c>
      <c r="G154" s="6">
        <f t="shared" si="20"/>
        <v>48.76015085348849</v>
      </c>
      <c r="H154" s="52">
        <f t="shared" si="21"/>
        <v>72385.58999999991</v>
      </c>
      <c r="I154" s="62">
        <f t="shared" si="22"/>
        <v>459201.69</v>
      </c>
      <c r="K154" s="184"/>
      <c r="L154" s="183"/>
    </row>
    <row r="155" spans="1:12" ht="18.75">
      <c r="A155" s="16" t="s">
        <v>0</v>
      </c>
      <c r="B155" s="52">
        <f>B11+B23+B36+B55+B62+B92+B49+B142+B109+B112+B96+B139+B128</f>
        <v>64011.899999999994</v>
      </c>
      <c r="C155" s="52">
        <f>C11+C23+C36+C55+C62+C92+C49+C142+C109+C112+C96+C139+C128</f>
        <v>110563.99999999999</v>
      </c>
      <c r="D155" s="52">
        <f>D11+D23+D36+D55+D62+D92+D49+D142+D109+D112+D96+D139+D128</f>
        <v>59436.499999999985</v>
      </c>
      <c r="E155" s="6">
        <f>D155/D153*100</f>
        <v>6.845417365856354</v>
      </c>
      <c r="F155" s="6">
        <f t="shared" si="23"/>
        <v>92.85226653169175</v>
      </c>
      <c r="G155" s="6">
        <f t="shared" si="20"/>
        <v>53.757552186968624</v>
      </c>
      <c r="H155" s="52">
        <f>B155-D155</f>
        <v>4575.400000000009</v>
      </c>
      <c r="I155" s="62">
        <f t="shared" si="22"/>
        <v>51127.5</v>
      </c>
      <c r="K155" s="153"/>
      <c r="L155" s="69"/>
    </row>
    <row r="156" spans="1:12" ht="18.75">
      <c r="A156" s="16" t="s">
        <v>1</v>
      </c>
      <c r="B156" s="51">
        <f>B22+B10+B54+B48+B61+B35+B123</f>
        <v>24582</v>
      </c>
      <c r="C156" s="51">
        <f>C22+C10+C54+C48+C61+C35+C123</f>
        <v>45915.9</v>
      </c>
      <c r="D156" s="51">
        <f>D22+D10+D54+D48+D61+D35+D123</f>
        <v>15098.4</v>
      </c>
      <c r="E156" s="6">
        <f>D156/D153*100</f>
        <v>1.7389121088328823</v>
      </c>
      <c r="F156" s="6">
        <f t="shared" si="23"/>
        <v>61.420551623138884</v>
      </c>
      <c r="G156" s="6">
        <f t="shared" si="20"/>
        <v>32.88272689852534</v>
      </c>
      <c r="H156" s="52">
        <f t="shared" si="21"/>
        <v>9483.6</v>
      </c>
      <c r="I156" s="62">
        <f t="shared" si="22"/>
        <v>30817.5</v>
      </c>
      <c r="K156" s="153"/>
      <c r="L156" s="33"/>
    </row>
    <row r="157" spans="1:12" ht="21" customHeight="1">
      <c r="A157" s="16" t="s">
        <v>14</v>
      </c>
      <c r="B157" s="51">
        <f>B12+B24+B104+B63+B38+B93+B130+B56+B137</f>
        <v>16012.900000000001</v>
      </c>
      <c r="C157" s="51">
        <f>C12+C24+C104+C63+C38+C93+C130+C56+C137</f>
        <v>30174.999999999996</v>
      </c>
      <c r="D157" s="51">
        <f>D12+D24+D104+D63+D38+D93+D130+D56+D137</f>
        <v>12090.400000000001</v>
      </c>
      <c r="E157" s="6">
        <f>D157/D153*100</f>
        <v>1.3924748953950805</v>
      </c>
      <c r="F157" s="6">
        <f t="shared" si="23"/>
        <v>75.5041247993805</v>
      </c>
      <c r="G157" s="6">
        <f t="shared" si="20"/>
        <v>40.06760563380283</v>
      </c>
      <c r="H157" s="52">
        <f>B157-D157</f>
        <v>3922.5</v>
      </c>
      <c r="I157" s="62">
        <f t="shared" si="22"/>
        <v>18084.599999999995</v>
      </c>
      <c r="K157" s="153"/>
      <c r="L157" s="69"/>
    </row>
    <row r="158" spans="1:12" ht="18.75">
      <c r="A158" s="16" t="s">
        <v>2</v>
      </c>
      <c r="B158" s="51">
        <f>B9+B21+B47+B53+B122</f>
        <v>31.6</v>
      </c>
      <c r="C158" s="51">
        <f>C9+C21+C47+C53+C122</f>
        <v>113.10000000000001</v>
      </c>
      <c r="D158" s="51">
        <f>D9+D21+D47+D53+D122</f>
        <v>17.900000000000002</v>
      </c>
      <c r="E158" s="6">
        <f>D158/D153*100</f>
        <v>0.0020615778326252185</v>
      </c>
      <c r="F158" s="6">
        <f t="shared" si="23"/>
        <v>56.64556962025317</v>
      </c>
      <c r="G158" s="6">
        <f t="shared" si="20"/>
        <v>15.826702033598586</v>
      </c>
      <c r="H158" s="52">
        <f t="shared" si="21"/>
        <v>13.7</v>
      </c>
      <c r="I158" s="62">
        <f t="shared" si="22"/>
        <v>95.2</v>
      </c>
      <c r="K158" s="153"/>
      <c r="L158" s="33"/>
    </row>
    <row r="159" spans="1:12" ht="19.5" thickBot="1">
      <c r="A159" s="88" t="s">
        <v>27</v>
      </c>
      <c r="B159" s="64">
        <f>B153-B154-B155-B156-B157-B158</f>
        <v>494852.6</v>
      </c>
      <c r="C159" s="64">
        <f>C153-C154-C155-C156-C157-C158</f>
        <v>1082200.7</v>
      </c>
      <c r="D159" s="64">
        <f>D153-D154-D155-D156-D157-D158</f>
        <v>344644.68999999977</v>
      </c>
      <c r="E159" s="31">
        <f>D159/D153*100</f>
        <v>39.69339961094914</v>
      </c>
      <c r="F159" s="31">
        <f t="shared" si="23"/>
        <v>69.64592890893164</v>
      </c>
      <c r="G159" s="31">
        <f t="shared" si="20"/>
        <v>31.846651919556123</v>
      </c>
      <c r="H159" s="89">
        <f t="shared" si="21"/>
        <v>150207.9100000002</v>
      </c>
      <c r="I159" s="89">
        <f t="shared" si="22"/>
        <v>737556.0100000002</v>
      </c>
      <c r="K159" s="153"/>
      <c r="L159" s="69"/>
    </row>
    <row r="160" spans="7:8" ht="12.75">
      <c r="G160" s="18"/>
      <c r="H160" s="18"/>
    </row>
    <row r="161" spans="3:11" ht="12.75">
      <c r="C161" s="153"/>
      <c r="G161" s="18"/>
      <c r="H161" s="18"/>
      <c r="I161" s="18"/>
      <c r="K161" s="95"/>
    </row>
    <row r="162" spans="7:11" ht="12.75">
      <c r="G162" s="18"/>
      <c r="H162" s="18"/>
      <c r="K162" s="95"/>
    </row>
    <row r="163" spans="7:11" ht="12.75">
      <c r="G163" s="18"/>
      <c r="H163" s="18"/>
      <c r="K163" s="95"/>
    </row>
    <row r="164" spans="4:8" ht="12.75">
      <c r="D164" s="153"/>
      <c r="G164" s="18"/>
      <c r="H164" s="18"/>
    </row>
    <row r="165" spans="2:8" ht="12.75">
      <c r="B165" s="157"/>
      <c r="C165" s="158"/>
      <c r="G165" s="18"/>
      <c r="H165" s="18"/>
    </row>
    <row r="166" spans="2:8" ht="12.75">
      <c r="B166" s="92"/>
      <c r="C166" s="92"/>
      <c r="D166" s="92"/>
      <c r="G166" s="18"/>
      <c r="H166" s="18"/>
    </row>
    <row r="167" spans="2:8" ht="12.75">
      <c r="B167" s="92"/>
      <c r="G167" s="18"/>
      <c r="H167" s="18"/>
    </row>
    <row r="168" spans="2:8" ht="12.75">
      <c r="B168" s="92"/>
      <c r="C168" s="153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3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фінансування'!C153</f>
        <v>2165149.5</v>
      </c>
    </row>
    <row r="2" spans="1:5" ht="15.75">
      <c r="A2" s="4"/>
      <c r="B2" s="4"/>
      <c r="C2" s="4"/>
      <c r="D2" s="4" t="s">
        <v>31</v>
      </c>
      <c r="E2" s="5">
        <f>'аналіз фінансування'!D153</f>
        <v>868266.9999999999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фінансування'!C153</f>
        <v>2165149.5</v>
      </c>
    </row>
    <row r="2" spans="1:5" ht="15.75">
      <c r="A2" s="4"/>
      <c r="B2" s="4"/>
      <c r="C2" s="4"/>
      <c r="D2" s="4" t="s">
        <v>31</v>
      </c>
      <c r="E2" s="5">
        <f>'аналіз фінансування'!D153</f>
        <v>868266.9999999999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2018-06-08T11:42:54Z</cp:lastPrinted>
  <dcterms:created xsi:type="dcterms:W3CDTF">2000-06-20T04:48:00Z</dcterms:created>
  <dcterms:modified xsi:type="dcterms:W3CDTF">2018-06-14T09:09:04Z</dcterms:modified>
  <cp:category/>
  <cp:version/>
  <cp:contentType/>
  <cp:contentStatus/>
</cp:coreProperties>
</file>